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tabRatio="589" activeTab="0"/>
  </bookViews>
  <sheets>
    <sheet name="Лист2" sheetId="1" r:id="rId1"/>
  </sheets>
  <definedNames>
    <definedName name="_xlnm.Print_Area" localSheetId="0">'Лист2'!$A$1:$M$226</definedName>
  </definedNames>
  <calcPr fullCalcOnLoad="1"/>
</workbook>
</file>

<file path=xl/sharedStrings.xml><?xml version="1.0" encoding="utf-8"?>
<sst xmlns="http://schemas.openxmlformats.org/spreadsheetml/2006/main" count="421" uniqueCount="315">
  <si>
    <t>Капітальні вкладення  (міська програма капітального будівництва об’єктів житлово - комунального господарства та соціальної інфраструктури міста Южноукраїнська на 2011 - 2015 роки) МВК</t>
  </si>
  <si>
    <t>Капітальні вкладення  (міська програма капітального будівництва об’єктів житлово - комунального господарства та соціальної інфраструктури міста Южноукраїнська на 2011 - 2015 роки) УЖКГтаБ</t>
  </si>
  <si>
    <t>Програма стабілізації та соціально-економічного розвитку територій (міська програма капітального будівництва об'єктів житлово-комунального господарства та соціальної інфраструктури м. Южноукраїнська на 2011-2015 рр. )</t>
  </si>
  <si>
    <t>Цільовий фонд Южноукраїнської міської ради для вирішення питань розвитку  інфраструктури міста ((міська комплексна програма "Молоде покоління м. Южноукраїнська" на 2012-2015 роки ) УМСК</t>
  </si>
  <si>
    <t>250345</t>
  </si>
  <si>
    <t>Субвенція з місцевого бюджету державному бюджету на виконання програм соціально - економічного та культурного розвитку регіонів (комплексна програма профілактики злочинності та вдосконалення системи захисту конституційних прав і свобод громадян в місті Южноукраїнську на 2011 - 2015 роки)</t>
  </si>
  <si>
    <t>Утилізація відходів (програма охорони довкілля та раціонального природокористування міста Южноукраїнська на 2011 - 2015 роки)</t>
  </si>
  <si>
    <t>Охорона та раціональне використання природних ресурсів (програма охорони довкілля та раціонального природокористування міста Южноукраїнська на 2011 - 2015 роки)</t>
  </si>
  <si>
    <t xml:space="preserve">Субсидії населення для відшкодування витрат на придбання твердого та рідкого пічного побутового палива і скрапленого газу (за рахунок субвенції з державного бюджету) </t>
  </si>
  <si>
    <t>Інші видатки на соціальний захист населення (міська програма забезпечення профілактики ВІЛ-інфекції, лікування, догляду та підтримки ВІЛ-інфікованих і хворих на СНІД на 2012-2016 роки )</t>
  </si>
  <si>
    <t>медицина</t>
  </si>
  <si>
    <t>Інші видатки на соціальний захист населення (міська програма боротьби з онкологічними захворюваннями в м.Южноукраїнську на пероід до 2016 року  )</t>
  </si>
  <si>
    <t>Центри "Спорт для всіх" та заходи з фізичної культури (Програма розвитку культури, фізичної культури, спорту та туризму в м.Южноукраїнську на 2010-2013 роки)</t>
  </si>
  <si>
    <t>Видатки на запобігання та ліквідацію надзвичайних ситуацій та наслідків стихійного лиха (міська цільова соціальна програма розвитку цивільного захисту міста Южноукраїнська на 2009 - 2013 роки)</t>
  </si>
  <si>
    <t>Інші правоохоронні заходи і заклади (міська комплексна програма профілактики злочинності та вдосконалення системи захисту конституційних прав і свобод громадян в місті Южноукраїнську на 2011 - 2015 роки)</t>
  </si>
  <si>
    <t xml:space="preserve">Охорона та раціональне використання водних ресурсів </t>
  </si>
  <si>
    <t xml:space="preserve">Капітальні вкладення (міська програма розвитку освіти в м.Южноукраїнську на 2011 - 2015 роки - субвенція з державного бюджету на фінансування програм – переможців Всеукраїнського конкурсу проектів та програм розвитку місцевого самоврядування на реалізацію інвестиційного проекту «Освітлення територій навчальних закладів за допомогою системи освітлення на LED – лампах та сонячних модулях») </t>
  </si>
  <si>
    <t>180409</t>
  </si>
  <si>
    <t>180000</t>
  </si>
  <si>
    <t>Інші послуги, пов’язані з економічною діяльністю</t>
  </si>
  <si>
    <t>210000</t>
  </si>
  <si>
    <t>250000</t>
  </si>
  <si>
    <t>Видатки, не віднесені до основних груп</t>
  </si>
  <si>
    <t>Запобігання та ліквідація надзвичайних ситуацій та наслідків стихійного лиха</t>
  </si>
  <si>
    <t>090308</t>
  </si>
  <si>
    <t xml:space="preserve">Допомога при усиновленні дитини (за рахунок субвенції з державного бюджету)  </t>
  </si>
  <si>
    <t>за тимчасовою класифікацією видатків та кредитування місцевих бюджетів</t>
  </si>
  <si>
    <t>Школи естетичного виховання дітей</t>
  </si>
  <si>
    <t xml:space="preserve">Освіта (утримання закладів освіти) </t>
  </si>
  <si>
    <t>130115</t>
  </si>
  <si>
    <t>Органи місцевого самоврядування ( міська програма інформаційної підтримки розвитку міста та діяльності органів місцевого самоврядування на 2013-2016 роки)</t>
  </si>
  <si>
    <t>Цільовий фонд Южноукраїнської міської ради для вирішення питань розвитку інфраструктури міста (поточний ремонт підлоги в приміщені роздягальні середньої групи №3 ДНЗ №2)</t>
  </si>
  <si>
    <t>Цільовий фонд Южноукраїнської міської ради для вирішення питань розвитку інфраструктури міста (Програма розвитку футболу в м.Южноукраїнську на 2013-2016 роки)</t>
  </si>
  <si>
    <t>Періодичні видання (газети та журнали) (міська програма підтримки газети Южноукраїнської міської ради "Контакт" на 2009 - 2014 роки - фінансова допомога на послуги друку, яка надавалась у 2012 році )</t>
  </si>
  <si>
    <t>120201</t>
  </si>
  <si>
    <t>Правоохорона діяльність та забезпечення безпеки держави</t>
  </si>
  <si>
    <t xml:space="preserve">Програма стабілізації та соціально-економічного розвитку територій (міська програма приватизації об'єктів, що належать до комунальної власності територіальної громади міста Южноукраїнськ на 2012-2014 роки в частині видатків, пов'язаних з підготовкою об'єктів до приватизації) </t>
  </si>
  <si>
    <t>Код тимчасової класифікації видатків та кредитуван- ня місцевих бюджетів</t>
  </si>
  <si>
    <t xml:space="preserve">Програма стабілізації та соціально-економічного розвитку територій (міська програма реформування і розвитку житлово - комунального господарства міста Южноукраїнська на 2010 - 2014 роки" в частині оформлення права власності,публікація оголошень в ЗМІ ) </t>
  </si>
  <si>
    <t xml:space="preserve">Підтримка малого і середнього підприємництва (міська програма розвитку малого і середнього підприємництва в м.Южноукраїнську на 2013-2014 роки) </t>
  </si>
  <si>
    <t>Капітальний ремонт житлового фонду місцевих органів влади (одержувач КП ЖЕО)</t>
  </si>
  <si>
    <t xml:space="preserve">Капітальний ремонт житлового фонду місцевих органів влади (субвенція з державного бюджету) </t>
  </si>
  <si>
    <t xml:space="preserve">Теплові мережі (субвенція з державного бюджету) </t>
  </si>
  <si>
    <t>100208</t>
  </si>
  <si>
    <t>Видатки  на впровадження засобів обліку витрат та регулювання споживання води та теплової енергії (міська програма реформування і розвитку житлово - комунального господарства міста Южноукраїнська на 2010 - 2014 роки - в частині  розробки  проектної документації  по переоснащенню інженерного вводу теплопостачання житлових  будинків з встановленням приладів обліку  теплової енергії - одержувач КП ТВКГ )</t>
  </si>
  <si>
    <t>100602</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</si>
  <si>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 (субвенція з державного бюджету)</t>
  </si>
  <si>
    <t>250102</t>
  </si>
  <si>
    <t>Резервний фонд</t>
  </si>
  <si>
    <t>Цільовий фонд Южноукраїнської міської ради для вирішення питань розвитку інфраструктури міста (міська програма реформування і розвитку житлово - комунального господарства міста Южноукраїнська на 2010 - 2014 роки - встановлення нових малих архітектурних споруд на території міського парку) (Одержувач бюджетних коштів КП СКГ)</t>
  </si>
  <si>
    <t>Пільги на медичне обслуговування громадянам, які постраждали внаслідок Чорнобильської катастрофи (за рахунок субвенції з обласного бюджету)</t>
  </si>
  <si>
    <t>090215</t>
  </si>
  <si>
    <t>Начальник фінансового управління Южноукраїнської міської ради</t>
  </si>
  <si>
    <t>Програми і заходи центрів соціальних служб для сім’ї,дітей та молоді (міська комплексна програма "Молодь Южноукраїнська " )</t>
  </si>
  <si>
    <t>Соціальні програми і заходи державних органів у справах молоді (міська комплексна програма "Молодь Южноукраїнська" на 2009 - 2011 роки)</t>
  </si>
  <si>
    <t>Територіальні центри соціального обслуговування (надання соціальних послуг) (утримання комунального закладу "Територіальний центр соціального обслуговування (надання соціальних послуг) м.Южноукраїнськ)</t>
  </si>
  <si>
    <t>Органи місцевого самоврядування (утримання виконавчого комітету Южноукраїнської міської ради)</t>
  </si>
  <si>
    <t>250388</t>
  </si>
  <si>
    <t>Органи місцевого самоврядування (утримання управління праці та соціального захисту населення Южноукраїнської міської ради)</t>
  </si>
  <si>
    <t>Органи місцевого самоврядування (утримання фінансового управління Южноукраїнської міської ради)</t>
  </si>
  <si>
    <t xml:space="preserve">Органи місцевого самоврядування (утримання управління молоді, спорту та культури Южноукраїнської міської ради) </t>
  </si>
  <si>
    <t>Органи місцевого самоврядування (утримання служби у справах дітей Южноукраїнської міської ради)</t>
  </si>
  <si>
    <t>130106</t>
  </si>
  <si>
    <t>100201</t>
  </si>
  <si>
    <t>Капітальні вкладення (субвенції з державного бюджету)</t>
  </si>
  <si>
    <t>Утримання та навчально-тренувальна робота дитячо-юнацьких спортивних шкіл (субвенції з державного бюджету)</t>
  </si>
  <si>
    <t>Внески органів місцевого самоврядування у статутні фонди суб’єктів підприємницької діяльності  (міська програма підтримки комунальної установи "Інформаційне агенство "Медіа - простір" Южноукраїнської міської ради )</t>
  </si>
  <si>
    <t>200100</t>
  </si>
  <si>
    <t xml:space="preserve">Цільовий фонд Южноукраїнської міської ради для вирішення питань розвитку  інфраструктури міста (поточний ремонт приміщень комунального закладу "Територіальний центр соціального обслуговування (надання соціальних послуг)" </t>
  </si>
  <si>
    <t xml:space="preserve">Допомога при  народженні дитини (за рахунок субвенції з державного бюджету) </t>
  </si>
  <si>
    <t>090700</t>
  </si>
  <si>
    <t>Утримання закладів, що надають соціальні послуги дітям, які опинились в складних життєвих обставинах (утримання комунального закладу "Центр соціально - психологічної реабілітації дітей")</t>
  </si>
  <si>
    <t>091205</t>
  </si>
  <si>
    <t>до рішення Южноукраїнської</t>
  </si>
  <si>
    <t>Додаткова дотація з держаного бюджету місцевим бюджетам на підвищення рівня матеріального забезпечення інвалідів І чи ІІ групи внаслідок психічного розладу</t>
  </si>
  <si>
    <t>Утримання закладів, що надають соціальні послуги дітям, які опинились в складних життєвих обставинах (утримання комунального закладу "Центр соціально - психологічної реабілітації дітей") (за рахунок субвенції з обласного бюджету)</t>
  </si>
  <si>
    <t>091103</t>
  </si>
  <si>
    <t>130102</t>
  </si>
  <si>
    <t>Утримання та навчально-тренувальна робота дитячо-юнацьких спортивних шкіл</t>
  </si>
  <si>
    <t>250331</t>
  </si>
  <si>
    <t>Додаткова додація з державного бюджету місцевим бюджетам на покращення надання соціальних послуг найуразливішим верствам населення</t>
  </si>
  <si>
    <t>Загальноосвітні школи (субвенція с державного бюджету)</t>
  </si>
  <si>
    <t>Територіальні центри соціального обслуговування (надання соціальних послуг) (утримання комунального закладу "Територіальний центр соціального обслуговування (надання соціальних послуг) м.Южноукраїнськ)(субвенція с державного бюджету)</t>
  </si>
  <si>
    <t>Проведення виборів народних депутатів Верховної Ради Автономної Республіки Крим, місцевих рад та сільських, селищних, міських голів (проміжні вибори)</t>
  </si>
  <si>
    <t>Уточнені видатки міського бюджету на 2014 рік</t>
  </si>
  <si>
    <t>Водопровідно-каналізаційне господарство (міська програма реформування і розвитку житлово - комунального господарства міста Южноукраїнська на 2010 - 2014 роки (одержувач КП "ТВКГ"))</t>
  </si>
  <si>
    <t>Водопровідно-каналізаційне господарство  (міська програма капітального будівництва об’єктів житлово-комунального господарства та соціальної інфраструктури м. Южноукраїнська на 2011-2015 р.р. (одержувач КП "ТВКГ"))</t>
  </si>
  <si>
    <t>Благоустрій міст, сіл, селищ  (міська програма реформування і розвитку житлово - комунального господарства міста Южноукраїнська на 2010 - 2014 роки)</t>
  </si>
  <si>
    <t>Благоустрій міст, сіл, селищ (міська програма зайнятості населення міста Южноукраїнська на період до 2017 року в частині оплачуваних громадських робіт)</t>
  </si>
  <si>
    <t>Благоустрій міст, сіл, селищ  (міська програма капітального будівництва об’єктів житлово-комунального господарства та соціальної інфраструктури м. Южноукраїнська на 2011-2015 р.р.)</t>
  </si>
  <si>
    <t>Інші засоби масової інформації (міська програма інформаційної підтримки розвитку міста та діяльності органів місцевого самоврядування на 2013-2016 роки)</t>
  </si>
  <si>
    <t>Проведення навчально-тренувальних зборів і змагань  (міська програма розвитку футболу в місті Южноукраїнську на 2013 - 2016 роки)</t>
  </si>
  <si>
    <t>Проведення навчально - тренувальних зборів і змагань з неолімпійських видів спорту (Програма розвитку культури, фізичної культури, спорту та туризму в м.Южноукраїнську на 2014-2018 роки)</t>
  </si>
  <si>
    <t>Проведення навчально - тренувальних зборів і змагань (Програма розвитку культури, фізичної культури, спорту та туризму в м.Южноукраїнську на 2014-2018 роки)</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</si>
  <si>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(за рахунок субвенції з державного бюджету)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</si>
  <si>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(за рахунок субвенції з державного бюджету)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</si>
  <si>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(за рахунок субвенції з державного бюджету) </t>
  </si>
  <si>
    <t>№</t>
  </si>
  <si>
    <t>міської ради від              2014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</si>
  <si>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t>
  </si>
  <si>
    <t xml:space="preserve">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 (за рахунок субвенції з державного бюджету)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</si>
  <si>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(за рахунок субвенції з державного бюджету)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</si>
  <si>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(за рахунок субвенції з державного бюджету) </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</si>
  <si>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(за рахунок субвенції з державного бюджету) </t>
  </si>
  <si>
    <t xml:space="preserve">Пільги окремим категоріям громадян з послуг зв'язку (за рахунок субвенції з державного бюджету) </t>
  </si>
  <si>
    <t xml:space="preserve">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послуги(за рахунок субвенції з державного бюджету) </t>
  </si>
  <si>
    <t xml:space="preserve">Видатки на проведення робіт, пов'язаних із будівництвом, реконструкцією, ремонтом та утриманням автомобільних доріг  (субвенція з обласного бюджету місцевим бюджетам за рахунок коштів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 ) </t>
  </si>
  <si>
    <t xml:space="preserve">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 </t>
  </si>
  <si>
    <t>Соціальні програми і заходи державних органів у справах молоді (міська комплексна програма "Програма профілактики соціального сирітства, захисту прав дітей-сиріт та дітей, позбавлених батьківського піклування на 2012 - 2015 роки") ССД</t>
  </si>
  <si>
    <t>Соціальні програми і заходи державних органів у справах молоді (міська комплексна програма "Молоде покоління м. Южноукраїнська" на 2012-2015 роки ) НС</t>
  </si>
  <si>
    <t>Витрати на поховання учасників бойових дій та інвалідів війни (за рахунок субвенції з обласного бюджету)</t>
  </si>
  <si>
    <t>Інші видатки  на соціальний захист ветеранів війни та праці   (субвенція з обласного бюджету)</t>
  </si>
  <si>
    <t>Інші видатки на соціальний захист населення ( за рахунок субвенції з обласного бюджету)</t>
  </si>
  <si>
    <t>Утримання центру соціальних служб для сім’ї, дітей та молоді (субвенція з обласного бюджету)</t>
  </si>
  <si>
    <t>Інші видатки  на соціальний захист ветеранів війни та праці (міська комплексна програма "Турбота" на 2013-2017 роки)</t>
  </si>
  <si>
    <t>Інші видатки на соціальний захист населення (міська комплексна програма "Турбота" на 2013-2017роки)</t>
  </si>
  <si>
    <t>Соціальні програми і заходи державних органів у справах молоді (міська комплексна програма "Молоде покоління м. Южноукраїнська" на 2012-2015 роки ) ЦСССДМ</t>
  </si>
  <si>
    <t>Соціальні програми і заходи державних органів у справах молоді (міська комплексна програма "Молоде покоління м. Южноукраїнська" на 2012-2015 роки ) УМСК</t>
  </si>
  <si>
    <t xml:space="preserve">Міська програма імунопрофілактики та захисту населення міста Южноукраїнська від інфекційних хвороб на 2012 - 2015 роки) </t>
  </si>
  <si>
    <t>Міська програма поводження із специфічними біологічними відходами в місті Южноукраїнську на 2012-2015 роки)</t>
  </si>
  <si>
    <t xml:space="preserve">Житлово - експлуатаційне господарство </t>
  </si>
  <si>
    <t>150110</t>
  </si>
  <si>
    <t>Проведення невідкладних відновлювальних робіт, будівництво та реконструкція загальноосвітніх навчальних закладів</t>
  </si>
  <si>
    <t xml:space="preserve">Землеустрій "Міська програма "Розвитку земельних відносин" </t>
  </si>
  <si>
    <t xml:space="preserve">Видатки на проведення робіт, пов"язаних із будівництвом, реконструкцією, ремонтом та утриманням автомобільних доріг (міська програма розвитку дорожнього руху та його безпеки в місті Южноукраїнську  на  2013 - 2017 роки) </t>
  </si>
  <si>
    <t>капітальні видатки за рахунок коштів, що передаються із загального фонду до бюджету розвитку (спеціального фонду)</t>
  </si>
  <si>
    <t>Програма стабілізації та соціально-економічного розвитку територій (міська програма реформування медичного обслуговування населення м. Южноукраїнська на 2013-2015 р.) УПтаСЗН</t>
  </si>
  <si>
    <t>Дошкільні заклади освіти</t>
  </si>
  <si>
    <t>Загальноосвітні школи (в т. ч. школа-дитячий садок, інтернат при школі), спеціалізовані школи, ліцеї</t>
  </si>
  <si>
    <t>Позашкільні заклади освіти, заходи із позашкільної роботи з дітьми</t>
  </si>
  <si>
    <t>Методична робота, інші заходи в галузі освіти</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</si>
  <si>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</si>
  <si>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</si>
  <si>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 (міжшкільний навчально-виробничий комбінат)</t>
  </si>
  <si>
    <t xml:space="preserve">Допомога дітям-сиротам та дітям, позбавленим батьківського піклування, яким виповнюється 18 років </t>
  </si>
  <si>
    <t>Виплата грошової компенсації фізичним особам, які надають соціальні послуги громадянам похилого віку, інвалідам, дітям-інвалідам, хворим, які нездатні до самообслуговування і потребують сторонньої допомоги (міська комплексна програма "Турбота" на 2013 - 2017 роки)</t>
  </si>
  <si>
    <t>Пільги, населенню на оплату житлово - комунальних послуг (міська комплексна програма "Турбота" на 2013 - 2017 роки)</t>
  </si>
  <si>
    <t>Фінансова підтримка громадських організацій  інвалідів і ветеранів (міська комплексна програма "Турбота" на 2013 - 2017 роки - "Товариство інвалідів", "Рада ветеранів", "Міська спілка воїнів-інтернаціоналістів, спілка "Союз-Чорнобиль")</t>
  </si>
  <si>
    <t>Компенсаційні виплати на пільговий проїзд автомобільним транспортом окремим категоріям громадян (дачні перевезення - міська комплексна програма "Турбота" на 2013 - 2017 роки)</t>
  </si>
  <si>
    <t>Інші освітні програми (Міська програма розвитку освіти в м.Южноукраїнську на 2011-2015 роки)</t>
  </si>
  <si>
    <t xml:space="preserve">Субсидії населенню для відшкодування витрат на оплату  житлово-комунальних послуг (за рахунок субвенції з державного бюджету) </t>
  </si>
  <si>
    <t xml:space="preserve">Субвенція з місцевого бюджету державному бюджету на виконання програм соціально - економічного та культурного розвитку регіонів (міська соціальна програма протидії захворюванню на туберкульоз на 2014-2017роки) </t>
  </si>
  <si>
    <t>Інші видатки на соціальний захист населення (міська соціальна програма протидії ВІЛ-інфекції/СНІДу на 2014-2019 роки )</t>
  </si>
  <si>
    <t>Субвенція з місцевого бюджету державному бюджету на виконання програм соціально - економічного та культурного розвитку регіонів (міська програма "Репродуктивне здоров'я населення міста Южноукраїнська " на 2013-2015 роки )</t>
  </si>
  <si>
    <t>Інші видатки на соціальний захист населення (міська цільова програма "Цукровий діабет" на 2014-2016 роки )</t>
  </si>
  <si>
    <t>Субвенція з місцевого бюджету державному бюджету на виконання програм соціально - економічного та культурного розвитку регіонів міська комплексна програма "Молоде покоління м. Южноукраїнська" на 2012-2015 роки )ЦСССДМ</t>
  </si>
  <si>
    <t xml:space="preserve">Утримання центрів соціальних служб для сім’ї, дітей та молоді </t>
  </si>
  <si>
    <t xml:space="preserve">Державна соціальна допомога інвалідам з дитинства та дітям-інвалідам (за рахунок субвенції з державного бюджету) </t>
  </si>
  <si>
    <t>Культура і мистецтво</t>
  </si>
  <si>
    <t>Культура і мистецтво (утримання закладів культури)</t>
  </si>
  <si>
    <t>Фізична культура і спорт</t>
  </si>
  <si>
    <t>240000</t>
  </si>
  <si>
    <t>Цільові фонди</t>
  </si>
  <si>
    <t>Видатки загального фонду</t>
  </si>
  <si>
    <t>оплата праці</t>
  </si>
  <si>
    <t>Видатки спеціального фонду</t>
  </si>
  <si>
    <t>Разом:</t>
  </si>
  <si>
    <t>010116</t>
  </si>
  <si>
    <t>070000</t>
  </si>
  <si>
    <t>090000</t>
  </si>
  <si>
    <t>090401</t>
  </si>
  <si>
    <t xml:space="preserve">  Найменування коду тимчасової класифікації видатків та кредитування місцевих бюджетів</t>
  </si>
  <si>
    <t>Разом</t>
  </si>
  <si>
    <t xml:space="preserve">    Всього</t>
  </si>
  <si>
    <t xml:space="preserve">  із них:</t>
  </si>
  <si>
    <t xml:space="preserve"> із них:</t>
  </si>
  <si>
    <t>із них:</t>
  </si>
  <si>
    <t>комунальні послуги та енергоносії</t>
  </si>
  <si>
    <t>бюджет розвитку</t>
  </si>
  <si>
    <t>13=3+6</t>
  </si>
  <si>
    <t>090405</t>
  </si>
  <si>
    <t>090412</t>
  </si>
  <si>
    <t>090416</t>
  </si>
  <si>
    <t>091204</t>
  </si>
  <si>
    <t>091207</t>
  </si>
  <si>
    <t>091209</t>
  </si>
  <si>
    <t>091300</t>
  </si>
  <si>
    <t>100000</t>
  </si>
  <si>
    <t>Житлово-комунальне господарство</t>
  </si>
  <si>
    <t>100102</t>
  </si>
  <si>
    <t>100203</t>
  </si>
  <si>
    <t>110000</t>
  </si>
  <si>
    <t>130000</t>
  </si>
  <si>
    <t>130107</t>
  </si>
  <si>
    <t>150000</t>
  </si>
  <si>
    <t>150101</t>
  </si>
  <si>
    <t>170000</t>
  </si>
  <si>
    <t>Транспорт, дорожнє господарство, зв'язок, телекомунікації та інформатика</t>
  </si>
  <si>
    <t>170102</t>
  </si>
  <si>
    <t>170703</t>
  </si>
  <si>
    <t>210110</t>
  </si>
  <si>
    <t>250404</t>
  </si>
  <si>
    <t>250301</t>
  </si>
  <si>
    <t>тис. грн.</t>
  </si>
  <si>
    <t>090209</t>
  </si>
  <si>
    <t>210105</t>
  </si>
  <si>
    <t>091101</t>
  </si>
  <si>
    <t>091102</t>
  </si>
  <si>
    <t>Будівництво</t>
  </si>
  <si>
    <t>090201</t>
  </si>
  <si>
    <t>090202</t>
  </si>
  <si>
    <t>090203</t>
  </si>
  <si>
    <t>090204</t>
  </si>
  <si>
    <t>090302</t>
  </si>
  <si>
    <t>090303</t>
  </si>
  <si>
    <t>090304</t>
  </si>
  <si>
    <t>090305</t>
  </si>
  <si>
    <t>090306</t>
  </si>
  <si>
    <t>080000</t>
  </si>
  <si>
    <t xml:space="preserve">Охорона здоров'я  </t>
  </si>
  <si>
    <t>120000</t>
  </si>
  <si>
    <t>Засоби масової інформації</t>
  </si>
  <si>
    <t>090207</t>
  </si>
  <si>
    <t>100103</t>
  </si>
  <si>
    <t>090206</t>
  </si>
  <si>
    <t>180109</t>
  </si>
  <si>
    <t>240900</t>
  </si>
  <si>
    <t>070401</t>
  </si>
  <si>
    <t>170302</t>
  </si>
  <si>
    <t>Соціальний захист та соціальне забезпечення</t>
  </si>
  <si>
    <t>090417</t>
  </si>
  <si>
    <t>Заходи з організації рятування на водах (Утримання рятувальної станції)</t>
  </si>
  <si>
    <t>110502</t>
  </si>
  <si>
    <t>090205</t>
  </si>
  <si>
    <t>090208</t>
  </si>
  <si>
    <t>090307</t>
  </si>
  <si>
    <t>240601</t>
  </si>
  <si>
    <t>100202</t>
  </si>
  <si>
    <t>070807</t>
  </si>
  <si>
    <t>090212</t>
  </si>
  <si>
    <t>070303</t>
  </si>
  <si>
    <t xml:space="preserve">Інші 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 вдівцям) померлих (загиблих) ветеранів військової служби,  ветеранів органів внутрішніх справ, ветеранів державної пожежної охорони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 </t>
  </si>
  <si>
    <t xml:space="preserve">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державної пожежної охорони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</si>
  <si>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Утримання управління житлово-комунального господарства (дотація)</t>
  </si>
  <si>
    <t>090214</t>
  </si>
  <si>
    <t>091303</t>
  </si>
  <si>
    <t>091304</t>
  </si>
  <si>
    <t>120400</t>
  </si>
  <si>
    <t>Освіта</t>
  </si>
  <si>
    <t>споживання</t>
  </si>
  <si>
    <t>розвитку</t>
  </si>
  <si>
    <t>070101</t>
  </si>
  <si>
    <t>070201</t>
  </si>
  <si>
    <t>070802</t>
  </si>
  <si>
    <t>070804</t>
  </si>
  <si>
    <t>070805</t>
  </si>
  <si>
    <t>070806</t>
  </si>
  <si>
    <t>110201</t>
  </si>
  <si>
    <t>Бібліотеки</t>
  </si>
  <si>
    <t>110202</t>
  </si>
  <si>
    <t>Музеї і виставки</t>
  </si>
  <si>
    <t>110205</t>
  </si>
  <si>
    <t>Інші культурно - освітні заклади та заходи (централізована бухгалтерія)</t>
  </si>
  <si>
    <t>070808</t>
  </si>
  <si>
    <t>Інші видатки (міська програма "Наше місто")</t>
  </si>
  <si>
    <t>В тому числі видатки за рахунок субвенцій з державного бюджету</t>
  </si>
  <si>
    <t>250203</t>
  </si>
  <si>
    <t>090413</t>
  </si>
  <si>
    <t>Допомога на догляд за інвалідом I чи II групи внаслідок психічного розладу (субвенція з обласного бюджету місцевим на виплату допомоги малозабезпеченій особі, яка проживає разом з інвалідом І чи ІІ групи внаслідок психічного розладу, на догляд за ним )</t>
  </si>
  <si>
    <t xml:space="preserve">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 </t>
  </si>
  <si>
    <t xml:space="preserve">Допомога у зв"язку з вагітністю і пологами (за рахунок субвенції з державного бюджету) </t>
  </si>
  <si>
    <t xml:space="preserve">Допомога на догляд за дитиною віком до 3 років (за рахунок субвенції з державного бюджету) </t>
  </si>
  <si>
    <t xml:space="preserve">Тимчасова державна допомога дітям (за рахунок субвенції з державного бюджету) </t>
  </si>
  <si>
    <t xml:space="preserve">Державна соціальна допомога малозабезпеченим сім’ям (за рахунок субвенції з державного бюджету) </t>
  </si>
  <si>
    <t>Компенсаційні виплати інвалідам на бензин, ремонт, техобслуговування автотранспорту та транспортне обслуговування (за рахунок субвенції з обласного бюджету)</t>
  </si>
  <si>
    <t>Встановлення телефонів інвалідам І та ІІ груп (за рахунок субвенції з обласного бюджету)</t>
  </si>
  <si>
    <t xml:space="preserve">Компенсаційні виплати на пільговий проїзд автомобільним транспортом окремим категоріям громадян (за рахунок субвенції з державного бюджету) </t>
  </si>
  <si>
    <t xml:space="preserve">Компенсаційні виплати за пільговий проїзд окремим категоріям громадян на залізничному транспорті (за рахунок субвенції з державного бюджету) </t>
  </si>
  <si>
    <t xml:space="preserve">Допомога на дітей одиноким матерям (за рахунок субвенції з державного бюджету)  </t>
  </si>
  <si>
    <t xml:space="preserve">Допомога на дітей , над якими встановлено опіку чи піклування (за рахунок субвенції з державного бюджету) </t>
  </si>
  <si>
    <t>Органи місцевого самоврядування (утримання управління освіти  Южноукраїнської міської ради)</t>
  </si>
  <si>
    <t>Органи місцевого самоврядування (утримання управління житлово-комунального господарства та будівництва Южноукраїнської міської ради)</t>
  </si>
  <si>
    <t>Органи місцевого самоврядування (утримання управління з питань надзвичайних ситуацій, мобілізаційної роботи та взаємодії з правоохоронними органами Южноукраїнської міської ради)</t>
  </si>
  <si>
    <t>060000</t>
  </si>
  <si>
    <t>061007</t>
  </si>
  <si>
    <t>100101</t>
  </si>
  <si>
    <t>090406</t>
  </si>
  <si>
    <t>Державне управління</t>
  </si>
  <si>
    <t>010000</t>
  </si>
  <si>
    <t xml:space="preserve">Дитячі будинки (в тому числі сімейного типу, прийомні сім’ї)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 </t>
  </si>
  <si>
    <t xml:space="preserve">Разом видатків </t>
  </si>
  <si>
    <t>180404</t>
  </si>
  <si>
    <t>Видатки за рахунок субвенцій з державного бюджету</t>
  </si>
  <si>
    <t>Інші видатки на соціальний захист населення (міська програма запобігання та лікування серцево-судинних та судинно-мозгових захворювань на 2012-2014 роки)</t>
  </si>
  <si>
    <t>Інші видатки на соціальний захист населення  (міська програма протидії захворюванню на туберкульоз у 2014 році)</t>
  </si>
  <si>
    <t>Інші видатки на соціальний захист населення (міська програма реформування медичного обслуговування населення міста Южноукраїнська на 2013- 2015рр)</t>
  </si>
  <si>
    <t xml:space="preserve">Інші видатки на соціальний захист населення (міська програма розвитку донорства крові та її компонентів на 2012 - 2016 роки) </t>
  </si>
  <si>
    <t>Інші видатки на соціальний захист населення (міська програма з надання паліативної та хоспісної допомоги в м. Южноукраїнську на період до 2016 року)</t>
  </si>
  <si>
    <t xml:space="preserve">Інші видатки на соціальний захист населення (міська програма "Репродуктивного здоров’я населення міста Южноукраїнська" на період до 2015 року) </t>
  </si>
  <si>
    <t>Капітальний ремонт житлового фонду (міська програма реформування і розвитку житлово-комунального господарства міста Южноукраїнська на 2010-2014 роки)</t>
  </si>
  <si>
    <t>Капітальний ремонт житлового фонду (міська програма капітального будівництва об’єктів житлово-комунального господарства та соціальної інфраструктури м. Южноукраїнська на 2011-2015 р.р.)</t>
  </si>
  <si>
    <t>Додаток  №4</t>
  </si>
  <si>
    <t xml:space="preserve">Видатки на утримання та розвиток інфраструктури доріг (субвенція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</si>
  <si>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Програма стабілізації та соціально-економічного розвитку територій (міська програма "Поводження з твердими побутовими відходами на території міста Южноукраїнська на 2013-2020 роки" (одержувач КП "СКГ"))</t>
  </si>
  <si>
    <t>Інші культурно-освітні заклади та заходи (Програма розвитку культури, фізичної культури, спорту та туризму в м.Южноукраїнську на 2014-2018 роки)</t>
  </si>
  <si>
    <t xml:space="preserve">Інші видатки на соціальний захист населення (міська комплексна програма "Молоде покоління м. Южноукраїнська" на 2012-2015 роки ) </t>
  </si>
  <si>
    <t xml:space="preserve">Програма стабілізації та соціально-економічного розвитку територій (міська програма охорони твариного світу та регулювання чисельності бродячих тварин в місті Южноукраїнську на 2012-2016 роки в частині забезпечення проживання та харчування волонтерів організації VIER PFOTEN Internatsonal) </t>
  </si>
  <si>
    <t>Соціальні програми і заходи державних органів у справах молоді (міська програма захисту прав дитей міста Южноукраїнськ "Дитинство" на 2013-2017 рр.)ССД</t>
  </si>
  <si>
    <t xml:space="preserve">Цільовий фонд Южноукраїнської міської ради для вирішення питань розвитку  інфраструктури міста (міська програма розвитку культури, фізичної культури, спорту та туризму в м.Южноукраїнську на 2010-2013 роки ) </t>
  </si>
  <si>
    <t xml:space="preserve">Інші видатки на соціальний захист населення  (міська програма розвитку донороства крові та її компонентов на 2012-2016 роки) </t>
  </si>
  <si>
    <t xml:space="preserve">Інші видатки на соціальний захист населення (міська програма імунопрофілактики та захисту населення міста Южноукраїнська від інфекційних хвороб на 2012-2015 роки) </t>
  </si>
  <si>
    <t>Програма стабілізації та соціально-економічного розвитку території</t>
  </si>
  <si>
    <t xml:space="preserve">Землеустрій </t>
  </si>
  <si>
    <t>Т.О.Гончарова</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</si>
  <si>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(зарезервовані кошти)</t>
  </si>
  <si>
    <t>240602</t>
  </si>
  <si>
    <t>Програма стабілізації та соціально-економічного розвитку територій (міська програма реформування і розвитку житлово-комунального господарства міста Южноукраїнська на 2010 - 2014 роки) УЖКГтаБ</t>
  </si>
  <si>
    <t>Програма стабілізації та соціально-економічного розвитку територій (міська програма  реформування і розвитку житлово - комунального господарства міста Южноукраїнська на 2010 - 2014 роки ) МВК</t>
  </si>
  <si>
    <t>250344</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</si>
  <si>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розвитку донороства крові та її компонентов на 2012-2016 роки) </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</si>
  <si>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з надання паліативної та хоспісної допомоги в м. Южноукраїнську на період до 2016 року) </t>
  </si>
  <si>
    <t>Субвенція з місцевого бюджету державному бюджету на виконання програм соціально - економічного та культурного розвитку регіонів (міська комплексна програма "Турбота" на 2013 - 2017 роки)</t>
  </si>
  <si>
    <t>Дотація  житлово - комунальному господарству (міська програма реформування і розвитку житлово - комунального господарства міста Южноукраїнська на 2010 - 2014 роки - одержувач КП ТВКГ)</t>
  </si>
  <si>
    <t>Теплові мережі  (міська програма реформування і розвитку житлово - комунального господарства міста Южноукраїнська на 2010 - 2014 роки (одержувач КП ТВКГ)</t>
  </si>
  <si>
    <t>Теплові мережі  (міська програма енергозбереження в сфері житлово - комунального господарства м.Южноукраїнська на 2009-2015 роки (одержувач КП ТВКГ)</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</si>
</sst>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0.000"/>
    <numFmt numFmtId="182" formatCode="0.0000"/>
    <numFmt numFmtId="183" formatCode="0.00000"/>
    <numFmt numFmtId="184" formatCode="#,##0.0"/>
    <numFmt numFmtId="185" formatCode="#,##0.000"/>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0.0000"/>
    <numFmt numFmtId="191" formatCode="#,##0.00000"/>
    <numFmt numFmtId="192" formatCode="#,##0.000000"/>
    <numFmt numFmtId="193" formatCode="0_)"/>
  </numFmts>
  <fonts count="46">
    <font>
      <sz val="10"/>
      <name val="Arial Cyr"/>
      <family val="0"/>
    </font>
    <font>
      <i/>
      <sz val="10"/>
      <name val="Arial Cyr"/>
      <family val="2"/>
    </font>
    <font>
      <sz val="10"/>
      <color indexed="10"/>
      <name val="Arial Cyr"/>
      <family val="2"/>
    </font>
    <font>
      <sz val="14"/>
      <name val="Times New Roman"/>
      <family val="1"/>
    </font>
    <font>
      <u val="single"/>
      <sz val="7.5"/>
      <color indexed="12"/>
      <name val="Arial Cyr"/>
      <family val="0"/>
    </font>
    <font>
      <u val="single"/>
      <sz val="7.5"/>
      <color indexed="36"/>
      <name val="Arial Cyr"/>
      <family val="0"/>
    </font>
    <font>
      <sz val="12"/>
      <name val="Times New Roman"/>
      <family val="1"/>
    </font>
    <font>
      <sz val="10"/>
      <name val="Times New Roman"/>
      <family val="1"/>
    </font>
    <font>
      <i/>
      <sz val="12"/>
      <name val="Times New Roman"/>
      <family val="1"/>
    </font>
    <font>
      <sz val="16"/>
      <name val="Times New Roman"/>
      <family val="1"/>
    </font>
    <font>
      <sz val="20"/>
      <name val="Times New Roman"/>
      <family val="1"/>
    </font>
    <font>
      <sz val="13"/>
      <color indexed="8"/>
      <name val="Times New Roman"/>
      <family val="1"/>
    </font>
    <font>
      <sz val="8"/>
      <color indexed="8"/>
      <name val="Times New Roman"/>
      <family val="1"/>
    </font>
    <font>
      <sz val="8"/>
      <color indexed="8"/>
      <name val="Times New Roman Cyr"/>
      <family val="1"/>
    </font>
    <font>
      <sz val="12"/>
      <color indexed="8"/>
      <name val="Times New Roman"/>
      <family val="1"/>
    </font>
    <font>
      <sz val="13"/>
      <name val="Times New Roman"/>
      <family val="1"/>
    </font>
    <font>
      <sz val="11"/>
      <color indexed="8"/>
      <name val="Times New Roman"/>
      <family val="1"/>
    </font>
    <font>
      <sz val="14"/>
      <color indexed="8"/>
      <name val="Times New Roman"/>
      <family val="1"/>
    </font>
    <font>
      <sz val="20"/>
      <color indexed="8"/>
      <name val="Times New Roman"/>
      <family val="1"/>
    </font>
    <font>
      <sz val="20"/>
      <color indexed="8"/>
      <name val="Times New Roman Cyr"/>
      <family val="0"/>
    </font>
    <font>
      <sz val="12"/>
      <color indexed="8"/>
      <name val="Times New Roman Cyr"/>
      <family val="1"/>
    </font>
    <font>
      <sz val="12"/>
      <name val="Arial Cyr"/>
      <family val="0"/>
    </font>
    <font>
      <i/>
      <sz val="12"/>
      <name val="Arial Cyr"/>
      <family val="2"/>
    </font>
    <font>
      <sz val="16"/>
      <color indexed="8"/>
      <name val="Times New Roman"/>
      <family val="1"/>
    </font>
    <font>
      <sz val="14"/>
      <color indexed="8"/>
      <name val="Times New Roman Cyr"/>
      <family val="1"/>
    </font>
    <font>
      <sz val="16"/>
      <color indexed="8"/>
      <name val="Times New Roman Cyr"/>
      <family val="1"/>
    </font>
    <font>
      <sz val="18"/>
      <name val="Times New Roman"/>
      <family val="1"/>
    </font>
    <font>
      <b/>
      <sz val="14"/>
      <color indexed="8"/>
      <name val="Times New Roman"/>
      <family val="1"/>
    </font>
    <font>
      <sz val="1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medium"/>
      <right style="medium"/>
      <top>
        <color indexed="63"/>
      </top>
      <bottom>
        <color indexed="63"/>
      </bottom>
    </border>
    <border>
      <left style="medium"/>
      <right style="medium"/>
      <top style="medium"/>
      <bottom style="medium"/>
    </border>
    <border>
      <left>
        <color indexed="63"/>
      </left>
      <right>
        <color indexed="63"/>
      </right>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7" borderId="1" applyNumberFormat="0" applyAlignment="0" applyProtection="0"/>
    <xf numFmtId="0" fontId="32" fillId="20" borderId="2" applyNumberFormat="0" applyAlignment="0" applyProtection="0"/>
    <xf numFmtId="0" fontId="33" fillId="20"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1" borderId="7" applyNumberFormat="0" applyAlignment="0" applyProtection="0"/>
    <xf numFmtId="0" fontId="39" fillId="0" borderId="0" applyNumberFormat="0" applyFill="0" applyBorder="0" applyAlignment="0" applyProtection="0"/>
    <xf numFmtId="0" fontId="40" fillId="22" borderId="0" applyNumberFormat="0" applyBorder="0" applyAlignment="0" applyProtection="0"/>
    <xf numFmtId="0" fontId="5" fillId="0" borderId="0" applyNumberFormat="0" applyFill="0" applyBorder="0" applyAlignment="0" applyProtection="0"/>
    <xf numFmtId="0" fontId="41" fillId="3" borderId="0" applyNumberFormat="0" applyBorder="0" applyAlignment="0" applyProtection="0"/>
    <xf numFmtId="0" fontId="4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4" borderId="0" applyNumberFormat="0" applyBorder="0" applyAlignment="0" applyProtection="0"/>
  </cellStyleXfs>
  <cellXfs count="199">
    <xf numFmtId="0" fontId="0" fillId="0" borderId="0" xfId="0" applyAlignment="1">
      <alignment/>
    </xf>
    <xf numFmtId="49" fontId="6" fillId="0" borderId="10" xfId="0" applyNumberFormat="1" applyFont="1" applyFill="1" applyBorder="1" applyAlignment="1">
      <alignment horizontal="center" wrapText="1"/>
    </xf>
    <xf numFmtId="0" fontId="7" fillId="0" borderId="0" xfId="0" applyFont="1" applyFill="1" applyAlignment="1">
      <alignment wrapText="1"/>
    </xf>
    <xf numFmtId="0" fontId="6" fillId="0" borderId="0" xfId="0" applyFont="1" applyFill="1" applyAlignment="1">
      <alignment wrapText="1"/>
    </xf>
    <xf numFmtId="0" fontId="6" fillId="0" borderId="0" xfId="0" applyFont="1" applyFill="1" applyBorder="1" applyAlignment="1">
      <alignment/>
    </xf>
    <xf numFmtId="0" fontId="8" fillId="0" borderId="0" xfId="0" applyFont="1" applyFill="1" applyBorder="1" applyAlignment="1">
      <alignment/>
    </xf>
    <xf numFmtId="0" fontId="10" fillId="0" borderId="0" xfId="0" applyFont="1" applyFill="1" applyAlignment="1">
      <alignment wrapText="1"/>
    </xf>
    <xf numFmtId="1" fontId="3" fillId="0" borderId="11" xfId="0" applyNumberFormat="1" applyFont="1" applyFill="1" applyBorder="1" applyAlignment="1">
      <alignment wrapText="1"/>
    </xf>
    <xf numFmtId="185" fontId="6" fillId="0" borderId="0" xfId="0" applyNumberFormat="1"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horizontal="left" wrapText="1"/>
    </xf>
    <xf numFmtId="0" fontId="3" fillId="0" borderId="12" xfId="0" applyFont="1" applyFill="1" applyBorder="1" applyAlignment="1">
      <alignment horizontal="left" wrapText="1"/>
    </xf>
    <xf numFmtId="1" fontId="3" fillId="0" borderId="11" xfId="0" applyNumberFormat="1" applyFont="1" applyFill="1" applyBorder="1" applyAlignment="1">
      <alignment horizontal="left" wrapText="1"/>
    </xf>
    <xf numFmtId="1" fontId="3" fillId="0" borderId="10" xfId="0" applyNumberFormat="1" applyFont="1" applyFill="1" applyBorder="1" applyAlignment="1">
      <alignment wrapText="1"/>
    </xf>
    <xf numFmtId="0" fontId="3" fillId="24" borderId="10" xfId="0" applyFont="1" applyFill="1" applyBorder="1" applyAlignment="1">
      <alignment wrapText="1"/>
    </xf>
    <xf numFmtId="0" fontId="3" fillId="0" borderId="10" xfId="0" applyFont="1" applyFill="1" applyBorder="1" applyAlignment="1">
      <alignment horizontal="left" wrapText="1"/>
    </xf>
    <xf numFmtId="1" fontId="3" fillId="24" borderId="10" xfId="0" applyNumberFormat="1" applyFont="1" applyFill="1" applyBorder="1" applyAlignment="1">
      <alignment horizontal="left" wrapText="1"/>
    </xf>
    <xf numFmtId="191" fontId="6" fillId="0" borderId="10" xfId="0" applyNumberFormat="1" applyFont="1" applyFill="1" applyBorder="1" applyAlignment="1">
      <alignment wrapText="1"/>
    </xf>
    <xf numFmtId="191" fontId="3" fillId="3" borderId="10" xfId="0" applyNumberFormat="1" applyFont="1" applyFill="1" applyBorder="1" applyAlignment="1" applyProtection="1">
      <alignment/>
      <protection locked="0"/>
    </xf>
    <xf numFmtId="0" fontId="17" fillId="0" borderId="10" xfId="0" applyFont="1" applyFill="1" applyBorder="1" applyAlignment="1">
      <alignment horizontal="center" vertical="top"/>
    </xf>
    <xf numFmtId="0" fontId="17" fillId="25" borderId="10" xfId="0" applyFont="1" applyFill="1" applyBorder="1" applyAlignment="1">
      <alignment horizontal="center" vertical="top"/>
    </xf>
    <xf numFmtId="191" fontId="17" fillId="0" borderId="10" xfId="0" applyNumberFormat="1" applyFont="1" applyFill="1" applyBorder="1" applyAlignment="1" applyProtection="1">
      <alignment/>
      <protection locked="0"/>
    </xf>
    <xf numFmtId="191" fontId="17" fillId="3" borderId="10" xfId="0" applyNumberFormat="1" applyFont="1" applyFill="1" applyBorder="1" applyAlignment="1">
      <alignment/>
    </xf>
    <xf numFmtId="191" fontId="3" fillId="25" borderId="10" xfId="0" applyNumberFormat="1" applyFont="1" applyFill="1" applyBorder="1" applyAlignment="1" applyProtection="1">
      <alignment/>
      <protection locked="0"/>
    </xf>
    <xf numFmtId="191" fontId="2" fillId="0" borderId="10" xfId="0" applyNumberFormat="1" applyFont="1" applyFill="1" applyBorder="1" applyAlignment="1">
      <alignment wrapText="1"/>
    </xf>
    <xf numFmtId="191" fontId="6" fillId="0" borderId="13" xfId="0" applyNumberFormat="1" applyFont="1" applyFill="1" applyBorder="1" applyAlignment="1">
      <alignment wrapText="1"/>
    </xf>
    <xf numFmtId="191" fontId="17" fillId="25" borderId="10" xfId="0" applyNumberFormat="1" applyFont="1" applyFill="1" applyBorder="1" applyAlignment="1">
      <alignment/>
    </xf>
    <xf numFmtId="191" fontId="17" fillId="0" borderId="10" xfId="0" applyNumberFormat="1" applyFont="1" applyFill="1" applyBorder="1" applyAlignment="1">
      <alignment/>
    </xf>
    <xf numFmtId="191" fontId="6" fillId="3" borderId="10" xfId="0" applyNumberFormat="1" applyFont="1" applyFill="1" applyBorder="1" applyAlignment="1">
      <alignment wrapText="1"/>
    </xf>
    <xf numFmtId="49" fontId="3" fillId="0" borderId="10" xfId="0" applyNumberFormat="1" applyFont="1" applyFill="1" applyBorder="1" applyAlignment="1">
      <alignment horizontal="center" wrapText="1"/>
    </xf>
    <xf numFmtId="0" fontId="3" fillId="0" borderId="10" xfId="0" applyFont="1" applyFill="1" applyBorder="1" applyAlignment="1">
      <alignment wrapText="1"/>
    </xf>
    <xf numFmtId="191" fontId="3" fillId="0" borderId="10" xfId="0" applyNumberFormat="1" applyFont="1" applyFill="1" applyBorder="1" applyAlignment="1">
      <alignment wrapText="1"/>
    </xf>
    <xf numFmtId="0" fontId="3" fillId="0" borderId="0" xfId="0" applyFont="1" applyFill="1" applyAlignment="1">
      <alignment/>
    </xf>
    <xf numFmtId="1" fontId="3" fillId="0" borderId="10" xfId="0" applyNumberFormat="1" applyFont="1" applyFill="1" applyBorder="1" applyAlignment="1">
      <alignment horizontal="left" wrapText="1"/>
    </xf>
    <xf numFmtId="191" fontId="6" fillId="0" borderId="0" xfId="0" applyNumberFormat="1" applyFont="1" applyFill="1" applyAlignment="1">
      <alignment wrapText="1"/>
    </xf>
    <xf numFmtId="191" fontId="0" fillId="0" borderId="10" xfId="0" applyNumberFormat="1" applyFont="1" applyFill="1" applyBorder="1" applyAlignment="1">
      <alignment wrapText="1"/>
    </xf>
    <xf numFmtId="0" fontId="3" fillId="0" borderId="10" xfId="0" applyFont="1" applyFill="1" applyBorder="1" applyAlignment="1">
      <alignment vertical="center" wrapText="1"/>
    </xf>
    <xf numFmtId="0" fontId="6" fillId="0" borderId="0" xfId="0" applyFont="1" applyFill="1" applyAlignment="1">
      <alignment/>
    </xf>
    <xf numFmtId="49" fontId="10" fillId="0" borderId="0" xfId="0" applyNumberFormat="1" applyFont="1" applyFill="1" applyAlignment="1">
      <alignment horizontal="center" wrapText="1"/>
    </xf>
    <xf numFmtId="0" fontId="10" fillId="0" borderId="0" xfId="0" applyFont="1" applyFill="1" applyAlignment="1">
      <alignment/>
    </xf>
    <xf numFmtId="0" fontId="10" fillId="0" borderId="0" xfId="0" applyFont="1" applyFill="1" applyAlignment="1">
      <alignment horizontal="left"/>
    </xf>
    <xf numFmtId="0" fontId="7" fillId="0" borderId="0" xfId="0" applyFont="1" applyFill="1" applyAlignment="1">
      <alignment/>
    </xf>
    <xf numFmtId="0" fontId="12" fillId="0" borderId="0" xfId="0" applyFont="1" applyFill="1" applyAlignment="1">
      <alignment/>
    </xf>
    <xf numFmtId="0" fontId="13" fillId="0" borderId="0" xfId="0" applyFont="1" applyFill="1" applyAlignment="1">
      <alignment/>
    </xf>
    <xf numFmtId="0" fontId="20" fillId="0" borderId="0" xfId="0" applyFont="1" applyFill="1" applyAlignment="1">
      <alignment/>
    </xf>
    <xf numFmtId="49" fontId="6" fillId="0" borderId="0" xfId="0" applyNumberFormat="1" applyFont="1" applyFill="1" applyAlignment="1">
      <alignment horizontal="center" wrapText="1"/>
    </xf>
    <xf numFmtId="0" fontId="3" fillId="0" borderId="0" xfId="0" applyFont="1" applyFill="1" applyAlignment="1">
      <alignment wrapText="1"/>
    </xf>
    <xf numFmtId="0" fontId="14" fillId="0" borderId="0" xfId="0" applyFont="1" applyFill="1" applyAlignment="1">
      <alignment/>
    </xf>
    <xf numFmtId="191" fontId="3" fillId="0" borderId="10" xfId="0" applyNumberFormat="1" applyFont="1" applyFill="1" applyBorder="1" applyAlignment="1" applyProtection="1">
      <alignment/>
      <protection locked="0"/>
    </xf>
    <xf numFmtId="49" fontId="0" fillId="0" borderId="10" xfId="0" applyNumberFormat="1" applyFont="1" applyFill="1" applyBorder="1" applyAlignment="1">
      <alignment horizontal="center" wrapText="1"/>
    </xf>
    <xf numFmtId="0" fontId="0" fillId="0" borderId="11" xfId="0" applyFont="1" applyFill="1" applyBorder="1" applyAlignment="1">
      <alignment horizontal="left" wrapText="1"/>
    </xf>
    <xf numFmtId="0" fontId="21" fillId="0" borderId="0" xfId="0" applyFont="1" applyFill="1" applyBorder="1" applyAlignment="1">
      <alignment/>
    </xf>
    <xf numFmtId="0" fontId="0" fillId="0" borderId="0" xfId="0" applyFont="1" applyFill="1" applyBorder="1" applyAlignment="1">
      <alignment/>
    </xf>
    <xf numFmtId="191" fontId="6" fillId="0" borderId="0" xfId="0" applyNumberFormat="1" applyFont="1" applyFill="1" applyBorder="1" applyAlignment="1">
      <alignment/>
    </xf>
    <xf numFmtId="0" fontId="21" fillId="0" borderId="0" xfId="0" applyFont="1" applyFill="1" applyBorder="1" applyAlignment="1">
      <alignment/>
    </xf>
    <xf numFmtId="0" fontId="0" fillId="0" borderId="0" xfId="0" applyFont="1" applyFill="1" applyBorder="1" applyAlignment="1">
      <alignment/>
    </xf>
    <xf numFmtId="0" fontId="3" fillId="0" borderId="12" xfId="0" applyFont="1" applyFill="1" applyBorder="1" applyAlignment="1">
      <alignment wrapText="1"/>
    </xf>
    <xf numFmtId="0" fontId="22" fillId="0" borderId="0" xfId="0" applyFont="1" applyFill="1" applyBorder="1" applyAlignment="1">
      <alignment/>
    </xf>
    <xf numFmtId="0" fontId="1" fillId="0" borderId="0" xfId="0" applyFont="1" applyFill="1" applyBorder="1" applyAlignment="1">
      <alignment/>
    </xf>
    <xf numFmtId="0" fontId="0" fillId="0" borderId="10" xfId="0" applyFont="1" applyFill="1" applyBorder="1" applyAlignment="1">
      <alignment horizontal="left" wrapText="1"/>
    </xf>
    <xf numFmtId="49" fontId="6" fillId="0" borderId="13" xfId="0" applyNumberFormat="1" applyFont="1" applyFill="1" applyBorder="1" applyAlignment="1">
      <alignment horizontal="center" wrapText="1"/>
    </xf>
    <xf numFmtId="191" fontId="3" fillId="0" borderId="13" xfId="0" applyNumberFormat="1" applyFont="1" applyFill="1" applyBorder="1" applyAlignment="1" applyProtection="1">
      <alignment/>
      <protection locked="0"/>
    </xf>
    <xf numFmtId="191" fontId="17" fillId="0" borderId="0" xfId="0" applyNumberFormat="1" applyFont="1" applyFill="1" applyBorder="1" applyAlignment="1">
      <alignment/>
    </xf>
    <xf numFmtId="191" fontId="17" fillId="0" borderId="14" xfId="0" applyNumberFormat="1" applyFont="1" applyFill="1" applyBorder="1" applyAlignment="1">
      <alignment/>
    </xf>
    <xf numFmtId="49" fontId="7" fillId="0" borderId="0" xfId="0" applyNumberFormat="1" applyFont="1" applyFill="1" applyAlignment="1">
      <alignment horizontal="center" wrapText="1"/>
    </xf>
    <xf numFmtId="181" fontId="17" fillId="25" borderId="10" xfId="0" applyNumberFormat="1" applyFont="1" applyFill="1" applyBorder="1" applyAlignment="1" applyProtection="1">
      <alignment horizontal="justify" vertical="top"/>
      <protection locked="0"/>
    </xf>
    <xf numFmtId="191" fontId="14" fillId="25" borderId="0" xfId="0" applyNumberFormat="1" applyFont="1" applyFill="1" applyAlignment="1">
      <alignment/>
    </xf>
    <xf numFmtId="0" fontId="12" fillId="25" borderId="0" xfId="0" applyFont="1" applyFill="1" applyAlignment="1">
      <alignment/>
    </xf>
    <xf numFmtId="0" fontId="13" fillId="25" borderId="0" xfId="0" applyFont="1" applyFill="1" applyAlignment="1">
      <alignment/>
    </xf>
    <xf numFmtId="0" fontId="6" fillId="4" borderId="0" xfId="0" applyFont="1" applyFill="1" applyBorder="1" applyAlignment="1">
      <alignment/>
    </xf>
    <xf numFmtId="191" fontId="3" fillId="4" borderId="10" xfId="0" applyNumberFormat="1" applyFont="1" applyFill="1" applyBorder="1" applyAlignment="1" applyProtection="1">
      <alignment/>
      <protection locked="0"/>
    </xf>
    <xf numFmtId="191" fontId="17" fillId="4" borderId="10" xfId="0" applyNumberFormat="1" applyFont="1" applyFill="1" applyBorder="1" applyAlignment="1">
      <alignment/>
    </xf>
    <xf numFmtId="49" fontId="9" fillId="4" borderId="11" xfId="0" applyNumberFormat="1" applyFont="1" applyFill="1" applyBorder="1" applyAlignment="1">
      <alignment horizontal="center" wrapText="1"/>
    </xf>
    <xf numFmtId="0" fontId="9" fillId="4" borderId="10" xfId="0" applyNumberFormat="1" applyFont="1" applyFill="1" applyBorder="1" applyAlignment="1">
      <alignment horizontal="justify" wrapText="1"/>
    </xf>
    <xf numFmtId="0" fontId="6" fillId="4" borderId="15"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16" xfId="0" applyFont="1" applyFill="1" applyBorder="1" applyAlignment="1">
      <alignment horizontal="center" wrapText="1"/>
    </xf>
    <xf numFmtId="0" fontId="6" fillId="4" borderId="17" xfId="0" applyFont="1" applyFill="1" applyBorder="1" applyAlignment="1">
      <alignment horizontal="center" vertical="center" wrapText="1"/>
    </xf>
    <xf numFmtId="49" fontId="3" fillId="4" borderId="10" xfId="0" applyNumberFormat="1" applyFont="1" applyFill="1" applyBorder="1" applyAlignment="1">
      <alignment horizontal="center" wrapText="1"/>
    </xf>
    <xf numFmtId="191" fontId="3" fillId="4" borderId="10" xfId="0" applyNumberFormat="1" applyFont="1" applyFill="1" applyBorder="1" applyAlignment="1">
      <alignment wrapText="1"/>
    </xf>
    <xf numFmtId="0" fontId="3" fillId="4" borderId="0" xfId="0" applyFont="1" applyFill="1" applyBorder="1" applyAlignment="1">
      <alignment/>
    </xf>
    <xf numFmtId="0" fontId="9" fillId="4" borderId="0" xfId="0" applyFont="1" applyFill="1" applyBorder="1" applyAlignment="1">
      <alignment/>
    </xf>
    <xf numFmtId="49" fontId="6" fillId="3" borderId="10" xfId="0" applyNumberFormat="1" applyFont="1" applyFill="1" applyBorder="1" applyAlignment="1">
      <alignment horizontal="center" wrapText="1"/>
    </xf>
    <xf numFmtId="0" fontId="3" fillId="3" borderId="11" xfId="0" applyFont="1" applyFill="1" applyBorder="1" applyAlignment="1">
      <alignment wrapText="1"/>
    </xf>
    <xf numFmtId="0" fontId="6" fillId="3" borderId="0" xfId="0" applyFont="1" applyFill="1" applyBorder="1" applyAlignment="1">
      <alignment/>
    </xf>
    <xf numFmtId="0" fontId="3" fillId="3" borderId="18" xfId="0" applyFont="1" applyFill="1" applyBorder="1" applyAlignment="1">
      <alignment wrapText="1"/>
    </xf>
    <xf numFmtId="49" fontId="7" fillId="3" borderId="10" xfId="0" applyNumberFormat="1" applyFont="1" applyFill="1" applyBorder="1" applyAlignment="1">
      <alignment horizontal="center" wrapText="1"/>
    </xf>
    <xf numFmtId="0" fontId="21" fillId="3" borderId="0" xfId="0" applyFont="1" applyFill="1" applyBorder="1" applyAlignment="1">
      <alignment/>
    </xf>
    <xf numFmtId="0" fontId="0" fillId="3" borderId="0" xfId="0" applyFont="1" applyFill="1" applyBorder="1" applyAlignment="1">
      <alignment/>
    </xf>
    <xf numFmtId="0" fontId="3" fillId="3" borderId="11" xfId="0" applyFont="1" applyFill="1" applyBorder="1" applyAlignment="1">
      <alignment horizontal="left" wrapText="1"/>
    </xf>
    <xf numFmtId="0" fontId="8" fillId="3" borderId="0" xfId="0" applyFont="1" applyFill="1" applyBorder="1" applyAlignment="1">
      <alignment/>
    </xf>
    <xf numFmtId="49" fontId="3" fillId="3" borderId="10" xfId="0" applyNumberFormat="1" applyFont="1" applyFill="1" applyBorder="1" applyAlignment="1">
      <alignment horizontal="center" wrapText="1"/>
    </xf>
    <xf numFmtId="0" fontId="3" fillId="3" borderId="10" xfId="0" applyFont="1" applyFill="1" applyBorder="1" applyAlignment="1">
      <alignment horizontal="left" wrapText="1"/>
    </xf>
    <xf numFmtId="0" fontId="9" fillId="4" borderId="11" xfId="0" applyFont="1" applyFill="1" applyBorder="1" applyAlignment="1">
      <alignment horizontal="left" wrapText="1"/>
    </xf>
    <xf numFmtId="49" fontId="9" fillId="4" borderId="10" xfId="0" applyNumberFormat="1" applyFont="1" applyFill="1" applyBorder="1" applyAlignment="1">
      <alignment horizontal="center" wrapText="1"/>
    </xf>
    <xf numFmtId="0" fontId="9" fillId="4" borderId="10" xfId="0" applyFont="1" applyFill="1" applyBorder="1" applyAlignment="1">
      <alignment horizontal="left" wrapText="1"/>
    </xf>
    <xf numFmtId="191" fontId="9" fillId="4" borderId="10" xfId="0" applyNumberFormat="1" applyFont="1" applyFill="1" applyBorder="1" applyAlignment="1">
      <alignment wrapText="1"/>
    </xf>
    <xf numFmtId="191" fontId="9" fillId="4" borderId="10" xfId="0" applyNumberFormat="1" applyFont="1" applyFill="1" applyBorder="1" applyAlignment="1" applyProtection="1">
      <alignment/>
      <protection locked="0"/>
    </xf>
    <xf numFmtId="191" fontId="23" fillId="4" borderId="10" xfId="0" applyNumberFormat="1" applyFont="1" applyFill="1" applyBorder="1" applyAlignment="1">
      <alignment/>
    </xf>
    <xf numFmtId="191" fontId="17" fillId="25" borderId="0" xfId="0" applyNumberFormat="1" applyFont="1" applyFill="1" applyAlignment="1">
      <alignment/>
    </xf>
    <xf numFmtId="0" fontId="17" fillId="25" borderId="0" xfId="0" applyFont="1" applyFill="1" applyAlignment="1">
      <alignment/>
    </xf>
    <xf numFmtId="0" fontId="24" fillId="25" borderId="0" xfId="0" applyFont="1" applyFill="1" applyAlignment="1">
      <alignment/>
    </xf>
    <xf numFmtId="181" fontId="23" fillId="25" borderId="10" xfId="0" applyNumberFormat="1" applyFont="1" applyFill="1" applyBorder="1" applyAlignment="1" applyProtection="1">
      <alignment horizontal="justify" vertical="top"/>
      <protection locked="0"/>
    </xf>
    <xf numFmtId="191" fontId="14" fillId="25" borderId="0" xfId="0" applyNumberFormat="1" applyFont="1" applyFill="1" applyAlignment="1">
      <alignment horizontal="center"/>
    </xf>
    <xf numFmtId="0" fontId="17" fillId="25" borderId="10" xfId="0" applyFont="1" applyFill="1" applyBorder="1" applyAlignment="1">
      <alignment horizontal="center"/>
    </xf>
    <xf numFmtId="0" fontId="12" fillId="25" borderId="0" xfId="0" applyFont="1" applyFill="1" applyAlignment="1">
      <alignment/>
    </xf>
    <xf numFmtId="0" fontId="13" fillId="25" borderId="0" xfId="0" applyFont="1" applyFill="1" applyAlignment="1">
      <alignment/>
    </xf>
    <xf numFmtId="181" fontId="23" fillId="25" borderId="10" xfId="0" applyNumberFormat="1" applyFont="1" applyFill="1" applyBorder="1" applyAlignment="1" applyProtection="1">
      <alignment horizontal="justify"/>
      <protection locked="0"/>
    </xf>
    <xf numFmtId="191" fontId="14" fillId="25" borderId="0" xfId="0" applyNumberFormat="1" applyFont="1" applyFill="1" applyAlignment="1">
      <alignment/>
    </xf>
    <xf numFmtId="191" fontId="17" fillId="25" borderId="14" xfId="0" applyNumberFormat="1" applyFont="1" applyFill="1" applyBorder="1" applyAlignment="1">
      <alignment/>
    </xf>
    <xf numFmtId="0" fontId="14" fillId="25" borderId="0" xfId="0" applyFont="1" applyFill="1" applyAlignment="1">
      <alignment/>
    </xf>
    <xf numFmtId="191" fontId="23" fillId="4" borderId="14" xfId="0" applyNumberFormat="1" applyFont="1" applyFill="1" applyBorder="1" applyAlignment="1">
      <alignment/>
    </xf>
    <xf numFmtId="0" fontId="14" fillId="25" borderId="0" xfId="0" applyFont="1" applyFill="1" applyBorder="1" applyAlignment="1">
      <alignment/>
    </xf>
    <xf numFmtId="0" fontId="12" fillId="25" borderId="0" xfId="0" applyFont="1" applyFill="1" applyBorder="1" applyAlignment="1">
      <alignment/>
    </xf>
    <xf numFmtId="0" fontId="13" fillId="25" borderId="0" xfId="0" applyFont="1" applyFill="1" applyBorder="1" applyAlignment="1">
      <alignment/>
    </xf>
    <xf numFmtId="1" fontId="9" fillId="25" borderId="10" xfId="0" applyNumberFormat="1" applyFont="1" applyFill="1" applyBorder="1" applyAlignment="1">
      <alignment wrapText="1"/>
    </xf>
    <xf numFmtId="1" fontId="9" fillId="4" borderId="10" xfId="0" applyNumberFormat="1" applyFont="1" applyFill="1" applyBorder="1" applyAlignment="1">
      <alignment wrapText="1"/>
    </xf>
    <xf numFmtId="0" fontId="23" fillId="4" borderId="10" xfId="0" applyFont="1" applyFill="1" applyBorder="1" applyAlignment="1">
      <alignment horizontal="center"/>
    </xf>
    <xf numFmtId="0" fontId="23" fillId="4" borderId="0" xfId="0" applyFont="1" applyFill="1" applyAlignment="1">
      <alignment/>
    </xf>
    <xf numFmtId="0" fontId="25" fillId="4" borderId="0" xfId="0" applyFont="1" applyFill="1" applyAlignment="1">
      <alignment/>
    </xf>
    <xf numFmtId="0" fontId="17" fillId="0" borderId="10" xfId="0" applyFont="1" applyFill="1" applyBorder="1" applyAlignment="1">
      <alignment horizontal="center"/>
    </xf>
    <xf numFmtId="0" fontId="14" fillId="0" borderId="0" xfId="0" applyFont="1" applyFill="1" applyAlignment="1">
      <alignment/>
    </xf>
    <xf numFmtId="0" fontId="12" fillId="0" borderId="0" xfId="0" applyFont="1" applyFill="1" applyAlignment="1">
      <alignment/>
    </xf>
    <xf numFmtId="0" fontId="13" fillId="0" borderId="0" xfId="0" applyFont="1" applyFill="1" applyAlignment="1">
      <alignment/>
    </xf>
    <xf numFmtId="0" fontId="9" fillId="4" borderId="10" xfId="0" applyFont="1" applyFill="1" applyBorder="1" applyAlignment="1">
      <alignment wrapText="1"/>
    </xf>
    <xf numFmtId="1" fontId="9" fillId="4" borderId="10" xfId="0" applyNumberFormat="1" applyFont="1" applyFill="1" applyBorder="1" applyAlignment="1">
      <alignment horizontal="left" wrapText="1"/>
    </xf>
    <xf numFmtId="0" fontId="9" fillId="4" borderId="0" xfId="0" applyFont="1" applyFill="1" applyBorder="1" applyAlignment="1">
      <alignment/>
    </xf>
    <xf numFmtId="0" fontId="9" fillId="0" borderId="0" xfId="0" applyFont="1" applyFill="1" applyAlignment="1">
      <alignment wrapText="1"/>
    </xf>
    <xf numFmtId="191" fontId="7" fillId="0" borderId="0" xfId="0" applyNumberFormat="1" applyFont="1" applyFill="1" applyAlignment="1">
      <alignment wrapText="1"/>
    </xf>
    <xf numFmtId="191" fontId="9" fillId="0" borderId="0" xfId="0" applyNumberFormat="1" applyFont="1" applyFill="1" applyAlignment="1">
      <alignment wrapText="1"/>
    </xf>
    <xf numFmtId="191" fontId="3" fillId="4" borderId="0" xfId="0" applyNumberFormat="1" applyFont="1" applyFill="1" applyBorder="1" applyAlignment="1">
      <alignment/>
    </xf>
    <xf numFmtId="185" fontId="3" fillId="4" borderId="0" xfId="0" applyNumberFormat="1" applyFont="1" applyFill="1" applyBorder="1" applyAlignment="1">
      <alignment/>
    </xf>
    <xf numFmtId="49" fontId="26" fillId="0" borderId="0" xfId="0" applyNumberFormat="1" applyFont="1" applyFill="1" applyAlignment="1">
      <alignment horizontal="left"/>
    </xf>
    <xf numFmtId="0" fontId="26" fillId="0" borderId="0" xfId="0" applyFont="1" applyFill="1" applyAlignment="1">
      <alignment wrapText="1"/>
    </xf>
    <xf numFmtId="191" fontId="26" fillId="0" borderId="0" xfId="0" applyNumberFormat="1" applyFont="1" applyFill="1" applyAlignment="1">
      <alignment wrapText="1"/>
    </xf>
    <xf numFmtId="191" fontId="26" fillId="0" borderId="0" xfId="0" applyNumberFormat="1" applyFont="1" applyFill="1" applyAlignment="1">
      <alignment/>
    </xf>
    <xf numFmtId="0" fontId="26" fillId="0" borderId="0" xfId="0" applyFont="1" applyFill="1" applyAlignment="1">
      <alignment/>
    </xf>
    <xf numFmtId="0" fontId="3" fillId="0" borderId="18" xfId="0" applyFont="1" applyFill="1" applyBorder="1" applyAlignment="1">
      <alignment vertical="top" wrapText="1"/>
    </xf>
    <xf numFmtId="191" fontId="6" fillId="0" borderId="16" xfId="0" applyNumberFormat="1" applyFont="1" applyFill="1" applyBorder="1" applyAlignment="1">
      <alignment wrapText="1"/>
    </xf>
    <xf numFmtId="191" fontId="6" fillId="0" borderId="0" xfId="0" applyNumberFormat="1" applyFont="1" applyFill="1" applyBorder="1" applyAlignment="1">
      <alignment wrapText="1"/>
    </xf>
    <xf numFmtId="0" fontId="8" fillId="22" borderId="0" xfId="0" applyFont="1" applyFill="1" applyBorder="1" applyAlignment="1">
      <alignment/>
    </xf>
    <xf numFmtId="0" fontId="15" fillId="0" borderId="19" xfId="0" applyFont="1" applyBorder="1" applyAlignment="1">
      <alignment horizontal="center" vertical="center" wrapText="1"/>
    </xf>
    <xf numFmtId="0" fontId="16" fillId="0" borderId="20" xfId="0" applyNumberFormat="1" applyFont="1" applyBorder="1" applyAlignment="1" applyProtection="1">
      <alignment horizontal="center" vertical="center"/>
      <protection locked="0"/>
    </xf>
    <xf numFmtId="191" fontId="23" fillId="4" borderId="18" xfId="0" applyNumberFormat="1" applyFont="1" applyFill="1" applyBorder="1" applyAlignment="1">
      <alignment/>
    </xf>
    <xf numFmtId="191" fontId="17" fillId="25" borderId="18" xfId="0" applyNumberFormat="1" applyFont="1" applyFill="1" applyBorder="1" applyAlignment="1">
      <alignment/>
    </xf>
    <xf numFmtId="0" fontId="9" fillId="4" borderId="21" xfId="0" applyFont="1" applyFill="1" applyBorder="1" applyAlignment="1">
      <alignment horizontal="left" wrapText="1"/>
    </xf>
    <xf numFmtId="49" fontId="28" fillId="8" borderId="10" xfId="0" applyNumberFormat="1" applyFont="1" applyFill="1" applyBorder="1" applyAlignment="1">
      <alignment horizontal="center" wrapText="1"/>
    </xf>
    <xf numFmtId="0" fontId="28" fillId="8" borderId="10" xfId="0" applyFont="1" applyFill="1" applyBorder="1" applyAlignment="1">
      <alignment horizontal="left" wrapText="1"/>
    </xf>
    <xf numFmtId="191" fontId="28" fillId="8" borderId="10" xfId="0" applyNumberFormat="1" applyFont="1" applyFill="1" applyBorder="1" applyAlignment="1">
      <alignment wrapText="1"/>
    </xf>
    <xf numFmtId="191" fontId="28" fillId="8" borderId="0" xfId="0" applyNumberFormat="1" applyFont="1" applyFill="1" applyBorder="1" applyAlignment="1">
      <alignment/>
    </xf>
    <xf numFmtId="185" fontId="28" fillId="8" borderId="0" xfId="0" applyNumberFormat="1" applyFont="1" applyFill="1" applyBorder="1" applyAlignment="1">
      <alignment/>
    </xf>
    <xf numFmtId="0" fontId="28" fillId="8" borderId="0" xfId="0" applyFont="1" applyFill="1" applyBorder="1" applyAlignment="1">
      <alignment/>
    </xf>
    <xf numFmtId="0" fontId="6" fillId="0" borderId="10" xfId="0" applyFont="1" applyFill="1" applyBorder="1" applyAlignment="1">
      <alignment horizontal="left" wrapText="1"/>
    </xf>
    <xf numFmtId="191" fontId="6" fillId="0" borderId="10" xfId="0" applyNumberFormat="1" applyFont="1" applyFill="1" applyBorder="1" applyAlignment="1" applyProtection="1">
      <alignment/>
      <protection locked="0"/>
    </xf>
    <xf numFmtId="191" fontId="14" fillId="0" borderId="10" xfId="0" applyNumberFormat="1" applyFont="1" applyFill="1" applyBorder="1" applyAlignment="1">
      <alignment/>
    </xf>
    <xf numFmtId="0" fontId="6" fillId="0" borderId="11" xfId="0" applyFont="1" applyFill="1" applyBorder="1" applyAlignment="1">
      <alignment horizontal="left" wrapText="1"/>
    </xf>
    <xf numFmtId="191" fontId="14" fillId="0" borderId="14" xfId="0" applyNumberFormat="1" applyFont="1" applyFill="1" applyBorder="1" applyAlignment="1">
      <alignment/>
    </xf>
    <xf numFmtId="0" fontId="3" fillId="0" borderId="10" xfId="0" applyFont="1" applyBorder="1" applyAlignment="1">
      <alignment wrapText="1"/>
    </xf>
    <xf numFmtId="49" fontId="9" fillId="0" borderId="0" xfId="0" applyNumberFormat="1" applyFont="1" applyFill="1" applyAlignment="1">
      <alignment horizontal="center" wrapText="1"/>
    </xf>
    <xf numFmtId="0" fontId="9" fillId="0" borderId="0" xfId="0" applyFont="1" applyFill="1" applyAlignment="1">
      <alignment/>
    </xf>
    <xf numFmtId="49" fontId="9" fillId="0" borderId="10" xfId="0" applyNumberFormat="1" applyFont="1" applyFill="1" applyBorder="1" applyAlignment="1">
      <alignment horizontal="center" wrapText="1"/>
    </xf>
    <xf numFmtId="0" fontId="9" fillId="0" borderId="10" xfId="0" applyFont="1" applyFill="1" applyBorder="1" applyAlignment="1">
      <alignment horizontal="left" wrapText="1"/>
    </xf>
    <xf numFmtId="191" fontId="9" fillId="0" borderId="10" xfId="0" applyNumberFormat="1" applyFont="1" applyFill="1" applyBorder="1" applyAlignment="1">
      <alignment wrapText="1"/>
    </xf>
    <xf numFmtId="191" fontId="9" fillId="0" borderId="10" xfId="0" applyNumberFormat="1" applyFont="1" applyFill="1" applyBorder="1" applyAlignment="1" applyProtection="1">
      <alignment/>
      <protection locked="0"/>
    </xf>
    <xf numFmtId="0" fontId="9" fillId="0" borderId="0" xfId="0" applyFont="1" applyFill="1" applyBorder="1" applyAlignment="1">
      <alignment/>
    </xf>
    <xf numFmtId="0" fontId="15" fillId="0" borderId="19" xfId="0" applyFont="1" applyBorder="1" applyAlignment="1">
      <alignment horizontal="center" vertical="center" wrapText="1"/>
    </xf>
    <xf numFmtId="49" fontId="6" fillId="0" borderId="13" xfId="0" applyNumberFormat="1" applyFont="1" applyFill="1" applyBorder="1" applyAlignment="1">
      <alignment horizontal="center" wrapText="1"/>
    </xf>
    <xf numFmtId="49" fontId="6" fillId="0" borderId="16" xfId="0" applyNumberFormat="1" applyFont="1" applyFill="1" applyBorder="1" applyAlignment="1">
      <alignment horizontal="center" wrapText="1"/>
    </xf>
    <xf numFmtId="0" fontId="11" fillId="0" borderId="22" xfId="0" applyFont="1" applyBorder="1" applyAlignment="1" applyProtection="1">
      <alignment horizontal="center" vertical="center" wrapText="1"/>
      <protection locked="0"/>
    </xf>
    <xf numFmtId="0" fontId="11" fillId="0" borderId="19" xfId="0" applyFont="1" applyBorder="1" applyAlignment="1" applyProtection="1">
      <alignment horizontal="center" vertical="center" wrapText="1"/>
      <protection locked="0"/>
    </xf>
    <xf numFmtId="0" fontId="11" fillId="0" borderId="23" xfId="0" applyFont="1" applyBorder="1" applyAlignment="1" applyProtection="1">
      <alignment horizontal="center" vertical="center" wrapText="1"/>
      <protection locked="0"/>
    </xf>
    <xf numFmtId="0" fontId="27" fillId="0" borderId="24" xfId="0" applyFont="1" applyBorder="1" applyAlignment="1">
      <alignment horizontal="center" vertical="center" wrapText="1"/>
    </xf>
    <xf numFmtId="0" fontId="0" fillId="0" borderId="25" xfId="0" applyBorder="1" applyAlignment="1">
      <alignment horizontal="center" vertical="center" wrapText="1"/>
    </xf>
    <xf numFmtId="0" fontId="14" fillId="0" borderId="22" xfId="0" applyFont="1" applyBorder="1" applyAlignment="1" applyProtection="1">
      <alignment horizontal="center" vertical="center" wrapText="1"/>
      <protection locked="0"/>
    </xf>
    <xf numFmtId="0" fontId="7" fillId="0" borderId="19" xfId="0" applyFont="1" applyBorder="1" applyAlignment="1">
      <alignment horizontal="center" vertical="center" wrapText="1"/>
    </xf>
    <xf numFmtId="0" fontId="7" fillId="0" borderId="23" xfId="0" applyFont="1" applyBorder="1" applyAlignment="1">
      <alignment horizontal="center" vertical="center" wrapText="1"/>
    </xf>
    <xf numFmtId="49" fontId="11" fillId="0" borderId="26" xfId="0" applyNumberFormat="1" applyFont="1" applyBorder="1" applyAlignment="1" applyProtection="1">
      <alignment horizontal="center" vertical="center"/>
      <protection locked="0"/>
    </xf>
    <xf numFmtId="49" fontId="11" fillId="0" borderId="27" xfId="0" applyNumberFormat="1" applyFont="1" applyBorder="1" applyAlignment="1" applyProtection="1">
      <alignment horizontal="center" vertical="center"/>
      <protection locked="0"/>
    </xf>
    <xf numFmtId="0" fontId="18" fillId="0" borderId="0" xfId="0" applyFont="1" applyFill="1" applyAlignment="1" applyProtection="1">
      <alignment horizontal="center" wrapText="1"/>
      <protection locked="0"/>
    </xf>
    <xf numFmtId="0" fontId="19" fillId="0" borderId="0" xfId="0" applyFont="1" applyFill="1" applyAlignment="1">
      <alignment horizontal="center"/>
    </xf>
    <xf numFmtId="0" fontId="8" fillId="0" borderId="0" xfId="0" applyFont="1" applyFill="1" applyBorder="1" applyAlignment="1">
      <alignment horizontal="center" wrapText="1"/>
    </xf>
    <xf numFmtId="193" fontId="11" fillId="0" borderId="22" xfId="0" applyNumberFormat="1" applyFont="1" applyBorder="1" applyAlignment="1" applyProtection="1">
      <alignment horizontal="center" vertical="center" wrapText="1"/>
      <protection locked="0"/>
    </xf>
    <xf numFmtId="193" fontId="11" fillId="0" borderId="19" xfId="0" applyNumberFormat="1" applyFont="1" applyBorder="1" applyAlignment="1" applyProtection="1">
      <alignment horizontal="center" vertical="center" wrapText="1"/>
      <protection locked="0"/>
    </xf>
    <xf numFmtId="193" fontId="11" fillId="0" borderId="23" xfId="0" applyNumberFormat="1" applyFont="1" applyBorder="1" applyAlignment="1" applyProtection="1">
      <alignment horizontal="center" vertical="center" wrapText="1"/>
      <protection locked="0"/>
    </xf>
    <xf numFmtId="0" fontId="11" fillId="0" borderId="22"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6" xfId="0" applyFont="1" applyBorder="1" applyAlignment="1" applyProtection="1">
      <alignment horizontal="center" vertical="center" wrapText="1"/>
      <protection locked="0"/>
    </xf>
    <xf numFmtId="0" fontId="11" fillId="0" borderId="27" xfId="0" applyFont="1" applyBorder="1" applyAlignment="1" applyProtection="1">
      <alignment horizontal="center" vertical="center" wrapText="1"/>
      <protection locked="0"/>
    </xf>
    <xf numFmtId="0" fontId="27" fillId="0" borderId="26" xfId="0" applyFont="1" applyBorder="1" applyAlignment="1">
      <alignment horizontal="center" vertical="center" wrapText="1"/>
    </xf>
    <xf numFmtId="0" fontId="27" fillId="0" borderId="28" xfId="0" applyFont="1" applyBorder="1" applyAlignment="1">
      <alignment horizontal="center" vertical="center" wrapText="1"/>
    </xf>
    <xf numFmtId="0" fontId="27" fillId="0" borderId="27"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4" fillId="0" borderId="19" xfId="0" applyFont="1" applyBorder="1" applyAlignment="1" applyProtection="1">
      <alignment horizontal="center" vertical="center" wrapText="1"/>
      <protection locked="0"/>
    </xf>
    <xf numFmtId="0" fontId="0" fillId="0" borderId="19" xfId="0" applyBorder="1" applyAlignment="1">
      <alignment horizontal="center" vertical="center"/>
    </xf>
    <xf numFmtId="0" fontId="0" fillId="0" borderId="23" xfId="0" applyBorder="1" applyAlignment="1">
      <alignment horizontal="center" vertical="center"/>
    </xf>
    <xf numFmtId="49" fontId="11" fillId="0" borderId="29" xfId="0" applyNumberFormat="1" applyFont="1" applyBorder="1" applyAlignment="1" applyProtection="1">
      <alignment horizontal="center" vertical="center"/>
      <protection locked="0"/>
    </xf>
    <xf numFmtId="0" fontId="0" fillId="0" borderId="30" xfId="0"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5">
    <dxf>
      <font>
        <color indexed="9"/>
      </font>
    </dxf>
    <dxf>
      <font>
        <color indexed="9"/>
      </font>
    </dxf>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234"/>
  <sheetViews>
    <sheetView tabSelected="1" view="pageBreakPreview" zoomScale="75" zoomScaleSheetLayoutView="75" zoomScalePageLayoutView="0" workbookViewId="0" topLeftCell="A218">
      <selection activeCell="H224" sqref="H224"/>
    </sheetView>
  </sheetViews>
  <sheetFormatPr defaultColWidth="9.00390625" defaultRowHeight="12.75"/>
  <cols>
    <col min="1" max="1" width="16.25390625" style="64" customWidth="1"/>
    <col min="2" max="2" width="62.25390625" style="46" customWidth="1"/>
    <col min="3" max="3" width="19.25390625" style="2" customWidth="1"/>
    <col min="4" max="4" width="18.625" style="2" customWidth="1"/>
    <col min="5" max="5" width="16.25390625" style="2" customWidth="1"/>
    <col min="6" max="6" width="17.75390625" style="2" customWidth="1"/>
    <col min="7" max="7" width="18.00390625" style="2" customWidth="1"/>
    <col min="8" max="8" width="15.125" style="2" customWidth="1"/>
    <col min="9" max="9" width="13.125" style="2" customWidth="1"/>
    <col min="10" max="10" width="17.875" style="2" customWidth="1"/>
    <col min="11" max="11" width="17.375" style="2" customWidth="1"/>
    <col min="12" max="12" width="16.875" style="2" customWidth="1"/>
    <col min="13" max="13" width="20.00390625" style="2" customWidth="1"/>
    <col min="14" max="14" width="18.75390625" style="37" customWidth="1"/>
    <col min="15" max="15" width="23.25390625" style="41" customWidth="1"/>
    <col min="16" max="16" width="13.00390625" style="41" customWidth="1"/>
    <col min="17" max="17" width="13.375" style="41" customWidth="1"/>
    <col min="18" max="18" width="9.125" style="41" customWidth="1"/>
    <col min="19" max="19" width="9.375" style="41" bestFit="1" customWidth="1"/>
    <col min="20" max="20" width="9.125" style="41" customWidth="1"/>
    <col min="21" max="21" width="11.875" style="41" bestFit="1" customWidth="1"/>
    <col min="22" max="22" width="9.375" style="41" bestFit="1" customWidth="1"/>
    <col min="23" max="16384" width="9.125" style="41" customWidth="1"/>
  </cols>
  <sheetData>
    <row r="1" spans="1:13" ht="27" customHeight="1">
      <c r="A1" s="38"/>
      <c r="B1" s="6"/>
      <c r="C1" s="6"/>
      <c r="D1" s="6"/>
      <c r="E1" s="6"/>
      <c r="F1" s="6"/>
      <c r="G1" s="6"/>
      <c r="H1" s="6"/>
      <c r="I1" s="39" t="s">
        <v>291</v>
      </c>
      <c r="J1" s="40"/>
      <c r="K1" s="39"/>
      <c r="L1" s="6"/>
      <c r="M1" s="6"/>
    </row>
    <row r="2" spans="1:13" ht="23.25" customHeight="1">
      <c r="A2" s="38"/>
      <c r="B2" s="6"/>
      <c r="C2" s="6"/>
      <c r="D2" s="6"/>
      <c r="E2" s="6"/>
      <c r="F2" s="6"/>
      <c r="G2" s="6"/>
      <c r="H2" s="6"/>
      <c r="I2" s="40" t="s">
        <v>73</v>
      </c>
      <c r="J2" s="40"/>
      <c r="K2" s="40"/>
      <c r="L2" s="6"/>
      <c r="M2" s="6"/>
    </row>
    <row r="3" spans="1:13" ht="24.75" customHeight="1">
      <c r="A3" s="38"/>
      <c r="B3" s="6"/>
      <c r="C3" s="6"/>
      <c r="D3" s="6"/>
      <c r="E3" s="6"/>
      <c r="F3" s="6"/>
      <c r="G3" s="6"/>
      <c r="H3" s="6"/>
      <c r="I3" s="40" t="s">
        <v>98</v>
      </c>
      <c r="J3" s="40"/>
      <c r="K3" s="40"/>
      <c r="L3" s="6" t="s">
        <v>97</v>
      </c>
      <c r="M3" s="6"/>
    </row>
    <row r="4" spans="1:41" s="43" customFormat="1" ht="22.5" customHeight="1">
      <c r="A4" s="178" t="s">
        <v>84</v>
      </c>
      <c r="B4" s="178"/>
      <c r="C4" s="178"/>
      <c r="D4" s="178"/>
      <c r="E4" s="178"/>
      <c r="F4" s="178"/>
      <c r="G4" s="178"/>
      <c r="H4" s="178"/>
      <c r="I4" s="178"/>
      <c r="J4" s="178"/>
      <c r="K4" s="178"/>
      <c r="L4" s="178"/>
      <c r="M4" s="178"/>
      <c r="N4" s="178"/>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row>
    <row r="5" spans="1:42" s="43" customFormat="1" ht="23.25" customHeight="1">
      <c r="A5" s="179" t="s">
        <v>26</v>
      </c>
      <c r="B5" s="179"/>
      <c r="C5" s="179"/>
      <c r="D5" s="179"/>
      <c r="E5" s="179"/>
      <c r="F5" s="179"/>
      <c r="G5" s="179"/>
      <c r="H5" s="179"/>
      <c r="I5" s="179"/>
      <c r="J5" s="179"/>
      <c r="K5" s="179"/>
      <c r="L5" s="179"/>
      <c r="M5" s="179"/>
      <c r="N5" s="44"/>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row>
    <row r="6" spans="1:13" s="37" customFormat="1" ht="19.5" thickBot="1">
      <c r="A6" s="45"/>
      <c r="B6" s="46"/>
      <c r="C6" s="3"/>
      <c r="D6" s="3"/>
      <c r="E6" s="3"/>
      <c r="F6" s="3"/>
      <c r="G6" s="3"/>
      <c r="H6" s="3"/>
      <c r="I6" s="3"/>
      <c r="J6" s="3"/>
      <c r="K6" s="180" t="s">
        <v>193</v>
      </c>
      <c r="L6" s="180"/>
      <c r="M6" s="180"/>
    </row>
    <row r="7" spans="1:41" s="43" customFormat="1" ht="19.5" customHeight="1" thickBot="1">
      <c r="A7" s="181" t="s">
        <v>37</v>
      </c>
      <c r="B7" s="168" t="s">
        <v>161</v>
      </c>
      <c r="C7" s="171" t="s">
        <v>153</v>
      </c>
      <c r="D7" s="172"/>
      <c r="E7" s="172"/>
      <c r="F7" s="189" t="s">
        <v>155</v>
      </c>
      <c r="G7" s="190"/>
      <c r="H7" s="190"/>
      <c r="I7" s="190"/>
      <c r="J7" s="190"/>
      <c r="K7" s="190"/>
      <c r="L7" s="191"/>
      <c r="M7" s="184" t="s">
        <v>162</v>
      </c>
      <c r="N7" s="47"/>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row>
    <row r="8" spans="1:41" s="43" customFormat="1" ht="19.5" customHeight="1" thickBot="1">
      <c r="A8" s="182"/>
      <c r="B8" s="169"/>
      <c r="C8" s="173" t="s">
        <v>163</v>
      </c>
      <c r="D8" s="176" t="s">
        <v>164</v>
      </c>
      <c r="E8" s="177"/>
      <c r="F8" s="194" t="s">
        <v>163</v>
      </c>
      <c r="G8" s="169" t="s">
        <v>239</v>
      </c>
      <c r="H8" s="197" t="s">
        <v>165</v>
      </c>
      <c r="I8" s="198"/>
      <c r="J8" s="169" t="s">
        <v>240</v>
      </c>
      <c r="K8" s="187" t="s">
        <v>166</v>
      </c>
      <c r="L8" s="188"/>
      <c r="M8" s="185"/>
      <c r="N8" s="47"/>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row>
    <row r="9" spans="1:41" s="43" customFormat="1" ht="16.5" customHeight="1" thickBot="1">
      <c r="A9" s="182"/>
      <c r="B9" s="169"/>
      <c r="C9" s="174"/>
      <c r="D9" s="168" t="s">
        <v>154</v>
      </c>
      <c r="E9" s="168" t="s">
        <v>167</v>
      </c>
      <c r="F9" s="195"/>
      <c r="G9" s="165"/>
      <c r="H9" s="168" t="s">
        <v>154</v>
      </c>
      <c r="I9" s="168" t="s">
        <v>167</v>
      </c>
      <c r="J9" s="165"/>
      <c r="K9" s="192" t="s">
        <v>168</v>
      </c>
      <c r="L9" s="141" t="s">
        <v>166</v>
      </c>
      <c r="M9" s="185"/>
      <c r="N9" s="47"/>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row>
    <row r="10" spans="1:41" s="43" customFormat="1" ht="16.5" customHeight="1">
      <c r="A10" s="182"/>
      <c r="B10" s="169"/>
      <c r="C10" s="174"/>
      <c r="D10" s="169"/>
      <c r="E10" s="169"/>
      <c r="F10" s="195"/>
      <c r="G10" s="165"/>
      <c r="H10" s="169"/>
      <c r="I10" s="169"/>
      <c r="J10" s="165"/>
      <c r="K10" s="165"/>
      <c r="L10" s="192" t="s">
        <v>125</v>
      </c>
      <c r="M10" s="185"/>
      <c r="N10" s="47"/>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row>
    <row r="11" spans="1:41" s="43" customFormat="1" ht="177.75" customHeight="1" thickBot="1">
      <c r="A11" s="183"/>
      <c r="B11" s="170"/>
      <c r="C11" s="175"/>
      <c r="D11" s="170"/>
      <c r="E11" s="170"/>
      <c r="F11" s="196"/>
      <c r="G11" s="165"/>
      <c r="H11" s="170"/>
      <c r="I11" s="170"/>
      <c r="J11" s="165"/>
      <c r="K11" s="193"/>
      <c r="L11" s="193"/>
      <c r="M11" s="186"/>
      <c r="N11" s="47"/>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row>
    <row r="12" spans="1:41" s="43" customFormat="1" ht="18" customHeight="1" thickBot="1">
      <c r="A12" s="142">
        <v>1</v>
      </c>
      <c r="B12" s="142">
        <v>2</v>
      </c>
      <c r="C12" s="142">
        <v>3</v>
      </c>
      <c r="D12" s="142">
        <v>4</v>
      </c>
      <c r="E12" s="142">
        <v>5</v>
      </c>
      <c r="F12" s="142">
        <v>6</v>
      </c>
      <c r="G12" s="142">
        <v>7</v>
      </c>
      <c r="H12" s="142">
        <v>8</v>
      </c>
      <c r="I12" s="142">
        <v>9</v>
      </c>
      <c r="J12" s="142">
        <v>10</v>
      </c>
      <c r="K12" s="142">
        <v>11</v>
      </c>
      <c r="L12" s="142">
        <v>12</v>
      </c>
      <c r="M12" s="142" t="s">
        <v>169</v>
      </c>
      <c r="N12" s="47"/>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row>
    <row r="13" spans="1:13" s="69" customFormat="1" ht="27" customHeight="1">
      <c r="A13" s="72" t="s">
        <v>278</v>
      </c>
      <c r="B13" s="73" t="s">
        <v>277</v>
      </c>
      <c r="C13" s="74"/>
      <c r="D13" s="75"/>
      <c r="E13" s="75"/>
      <c r="F13" s="76"/>
      <c r="G13" s="75"/>
      <c r="H13" s="75"/>
      <c r="I13" s="75"/>
      <c r="J13" s="75"/>
      <c r="K13" s="75"/>
      <c r="L13" s="75"/>
      <c r="M13" s="77"/>
    </row>
    <row r="14" spans="1:13" s="4" customFormat="1" ht="57.75" customHeight="1">
      <c r="A14" s="1" t="s">
        <v>157</v>
      </c>
      <c r="B14" s="10" t="s">
        <v>56</v>
      </c>
      <c r="C14" s="21">
        <f>4313.7+170.87778+120-1.389</f>
        <v>4603.1887799999995</v>
      </c>
      <c r="D14" s="21">
        <v>3016.36</v>
      </c>
      <c r="E14" s="21">
        <v>71.5</v>
      </c>
      <c r="F14" s="48">
        <f>G14+J14</f>
        <v>23.943240000000003</v>
      </c>
      <c r="G14" s="21">
        <v>11.8</v>
      </c>
      <c r="H14" s="21"/>
      <c r="I14" s="21"/>
      <c r="J14" s="21">
        <f>2.5+9.64324</f>
        <v>12.14324</v>
      </c>
      <c r="K14" s="21">
        <v>9.64324</v>
      </c>
      <c r="L14" s="21"/>
      <c r="M14" s="27">
        <f>C14+F14</f>
        <v>4627.132019999999</v>
      </c>
    </row>
    <row r="15" spans="1:13" s="4" customFormat="1" ht="84" customHeight="1">
      <c r="A15" s="1" t="s">
        <v>157</v>
      </c>
      <c r="B15" s="10" t="s">
        <v>30</v>
      </c>
      <c r="C15" s="21">
        <f>5+1.389</f>
        <v>6.389</v>
      </c>
      <c r="D15" s="21"/>
      <c r="E15" s="21"/>
      <c r="F15" s="48">
        <f>G15+J15</f>
        <v>0</v>
      </c>
      <c r="G15" s="21"/>
      <c r="H15" s="21"/>
      <c r="I15" s="21"/>
      <c r="J15" s="21"/>
      <c r="K15" s="21"/>
      <c r="L15" s="21"/>
      <c r="M15" s="27">
        <f>C15+F15</f>
        <v>6.389</v>
      </c>
    </row>
    <row r="16" spans="1:14" s="4" customFormat="1" ht="54" customHeight="1">
      <c r="A16" s="1" t="s">
        <v>157</v>
      </c>
      <c r="B16" s="10" t="s">
        <v>270</v>
      </c>
      <c r="C16" s="21">
        <f>678.5+9.64039</f>
        <v>688.14039</v>
      </c>
      <c r="D16" s="21">
        <v>473.441</v>
      </c>
      <c r="E16" s="21">
        <v>7</v>
      </c>
      <c r="F16" s="48">
        <f>G16+J16</f>
        <v>0</v>
      </c>
      <c r="G16" s="21"/>
      <c r="H16" s="21"/>
      <c r="I16" s="21"/>
      <c r="J16" s="21"/>
      <c r="K16" s="21"/>
      <c r="L16" s="21"/>
      <c r="M16" s="27">
        <f>C16+F16</f>
        <v>688.14039</v>
      </c>
      <c r="N16" s="4">
        <v>-0.235</v>
      </c>
    </row>
    <row r="17" spans="1:13" s="4" customFormat="1" ht="66.75" customHeight="1">
      <c r="A17" s="1" t="s">
        <v>157</v>
      </c>
      <c r="B17" s="10" t="s">
        <v>58</v>
      </c>
      <c r="C17" s="31">
        <f>1681.6+29.0029</f>
        <v>1710.6028999999999</v>
      </c>
      <c r="D17" s="31">
        <v>1168.79</v>
      </c>
      <c r="E17" s="31">
        <v>51.4</v>
      </c>
      <c r="F17" s="48">
        <f aca="true" t="shared" si="0" ref="F17:F23">G17+J17</f>
        <v>6.09009</v>
      </c>
      <c r="G17" s="21"/>
      <c r="H17" s="21"/>
      <c r="I17" s="21"/>
      <c r="J17" s="21">
        <v>6.09009</v>
      </c>
      <c r="K17" s="21">
        <v>6.09009</v>
      </c>
      <c r="L17" s="21"/>
      <c r="M17" s="27">
        <f aca="true" t="shared" si="1" ref="M17:M22">C17+F17</f>
        <v>1716.6929899999998</v>
      </c>
    </row>
    <row r="18" spans="1:13" s="4" customFormat="1" ht="67.5" customHeight="1">
      <c r="A18" s="1" t="s">
        <v>157</v>
      </c>
      <c r="B18" s="10" t="s">
        <v>271</v>
      </c>
      <c r="C18" s="21">
        <f>739.4+26.97593</f>
        <v>766.3759299999999</v>
      </c>
      <c r="D18" s="21">
        <v>499.6</v>
      </c>
      <c r="E18" s="21">
        <v>15.7</v>
      </c>
      <c r="F18" s="48">
        <f t="shared" si="0"/>
        <v>0</v>
      </c>
      <c r="G18" s="21"/>
      <c r="H18" s="21"/>
      <c r="I18" s="21"/>
      <c r="J18" s="21"/>
      <c r="K18" s="21"/>
      <c r="L18" s="21"/>
      <c r="M18" s="27">
        <f t="shared" si="1"/>
        <v>766.3759299999999</v>
      </c>
    </row>
    <row r="19" spans="1:14" s="52" customFormat="1" ht="26.25" customHeight="1" hidden="1">
      <c r="A19" s="49" t="s">
        <v>157</v>
      </c>
      <c r="B19" s="50" t="s">
        <v>233</v>
      </c>
      <c r="C19" s="21"/>
      <c r="D19" s="21"/>
      <c r="E19" s="21"/>
      <c r="F19" s="48">
        <f t="shared" si="0"/>
        <v>0</v>
      </c>
      <c r="G19" s="21"/>
      <c r="H19" s="21"/>
      <c r="I19" s="21"/>
      <c r="J19" s="21"/>
      <c r="K19" s="21"/>
      <c r="L19" s="21"/>
      <c r="M19" s="27">
        <f t="shared" si="1"/>
        <v>0</v>
      </c>
      <c r="N19" s="51"/>
    </row>
    <row r="20" spans="1:13" s="4" customFormat="1" ht="72" customHeight="1">
      <c r="A20" s="1" t="s">
        <v>157</v>
      </c>
      <c r="B20" s="10" t="s">
        <v>59</v>
      </c>
      <c r="C20" s="21">
        <f>1012+111.18129</f>
        <v>1123.18129</v>
      </c>
      <c r="D20" s="21">
        <v>711.9</v>
      </c>
      <c r="E20" s="21">
        <v>12</v>
      </c>
      <c r="F20" s="48">
        <f t="shared" si="0"/>
        <v>22.739</v>
      </c>
      <c r="G20" s="21"/>
      <c r="H20" s="21"/>
      <c r="I20" s="21"/>
      <c r="J20" s="21">
        <v>22.739</v>
      </c>
      <c r="K20" s="21">
        <v>22.739</v>
      </c>
      <c r="L20" s="21"/>
      <c r="M20" s="27">
        <f t="shared" si="1"/>
        <v>1145.92029</v>
      </c>
    </row>
    <row r="21" spans="1:13" s="4" customFormat="1" ht="74.25" customHeight="1">
      <c r="A21" s="1" t="s">
        <v>157</v>
      </c>
      <c r="B21" s="10" t="s">
        <v>60</v>
      </c>
      <c r="C21" s="21">
        <f>395.7+24.77095</f>
        <v>420.47095</v>
      </c>
      <c r="D21" s="21">
        <v>269.9</v>
      </c>
      <c r="E21" s="21">
        <v>8.7</v>
      </c>
      <c r="F21" s="48">
        <f>G21+J21</f>
        <v>2.3</v>
      </c>
      <c r="G21" s="21"/>
      <c r="H21" s="21"/>
      <c r="I21" s="21"/>
      <c r="J21" s="21">
        <v>2.3</v>
      </c>
      <c r="K21" s="21">
        <v>2.3</v>
      </c>
      <c r="L21" s="21"/>
      <c r="M21" s="27">
        <f>C21+F21</f>
        <v>422.77095</v>
      </c>
    </row>
    <row r="22" spans="1:13" s="4" customFormat="1" ht="83.25" customHeight="1">
      <c r="A22" s="1" t="s">
        <v>157</v>
      </c>
      <c r="B22" s="10" t="s">
        <v>272</v>
      </c>
      <c r="C22" s="21">
        <f>773.9+32.28425</f>
        <v>806.18425</v>
      </c>
      <c r="D22" s="21">
        <v>547</v>
      </c>
      <c r="E22" s="21">
        <v>12.3</v>
      </c>
      <c r="F22" s="48">
        <f t="shared" si="0"/>
        <v>12.49184</v>
      </c>
      <c r="G22" s="21"/>
      <c r="H22" s="21"/>
      <c r="I22" s="21"/>
      <c r="J22" s="21">
        <v>12.49184</v>
      </c>
      <c r="K22" s="21">
        <v>12.49184</v>
      </c>
      <c r="L22" s="21"/>
      <c r="M22" s="27">
        <f t="shared" si="1"/>
        <v>818.67609</v>
      </c>
    </row>
    <row r="23" spans="1:13" s="4" customFormat="1" ht="58.5" customHeight="1">
      <c r="A23" s="1" t="s">
        <v>157</v>
      </c>
      <c r="B23" s="10" t="s">
        <v>61</v>
      </c>
      <c r="C23" s="31">
        <f>374.2+3.09705</f>
        <v>377.29705</v>
      </c>
      <c r="D23" s="31">
        <v>266.177</v>
      </c>
      <c r="E23" s="21">
        <v>6.1</v>
      </c>
      <c r="F23" s="48">
        <f t="shared" si="0"/>
        <v>9.585</v>
      </c>
      <c r="G23" s="21">
        <v>9.585</v>
      </c>
      <c r="H23" s="21"/>
      <c r="I23" s="21"/>
      <c r="J23" s="21"/>
      <c r="K23" s="21"/>
      <c r="L23" s="21"/>
      <c r="M23" s="27">
        <f>C23+F23</f>
        <v>386.88205</v>
      </c>
    </row>
    <row r="24" spans="1:41" s="68" customFormat="1" ht="18.75">
      <c r="A24" s="20"/>
      <c r="B24" s="65" t="s">
        <v>156</v>
      </c>
      <c r="C24" s="26">
        <f>SUM(C14:C23)</f>
        <v>10501.83054</v>
      </c>
      <c r="D24" s="26">
        <f>SUM(D14:D23)</f>
        <v>6953.168</v>
      </c>
      <c r="E24" s="26">
        <f>SUM(E14:E23)</f>
        <v>184.7</v>
      </c>
      <c r="F24" s="23">
        <f>G24+J24</f>
        <v>77.14917</v>
      </c>
      <c r="G24" s="26">
        <f aca="true" t="shared" si="2" ref="G24:L24">SUM(G14:G23)</f>
        <v>21.385</v>
      </c>
      <c r="H24" s="26">
        <f t="shared" si="2"/>
        <v>0</v>
      </c>
      <c r="I24" s="26">
        <f t="shared" si="2"/>
        <v>0</v>
      </c>
      <c r="J24" s="26">
        <f t="shared" si="2"/>
        <v>55.76416999999999</v>
      </c>
      <c r="K24" s="26">
        <f t="shared" si="2"/>
        <v>53.26416999999999</v>
      </c>
      <c r="L24" s="26">
        <f t="shared" si="2"/>
        <v>0</v>
      </c>
      <c r="M24" s="26">
        <f>C24+F24</f>
        <v>10578.979710000001</v>
      </c>
      <c r="N24" s="66">
        <f>C24+166.734</f>
        <v>10668.564540000001</v>
      </c>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row>
    <row r="25" spans="1:13" s="80" customFormat="1" ht="43.5" customHeight="1">
      <c r="A25" s="78" t="s">
        <v>273</v>
      </c>
      <c r="B25" s="145" t="s">
        <v>35</v>
      </c>
      <c r="C25" s="79"/>
      <c r="D25" s="79"/>
      <c r="E25" s="79"/>
      <c r="F25" s="70">
        <f>G25+J25</f>
        <v>0</v>
      </c>
      <c r="G25" s="79"/>
      <c r="H25" s="79"/>
      <c r="I25" s="79"/>
      <c r="J25" s="79"/>
      <c r="K25" s="79"/>
      <c r="L25" s="79"/>
      <c r="M25" s="71">
        <f aca="true" t="shared" si="3" ref="M25:M45">C25+F25</f>
        <v>0</v>
      </c>
    </row>
    <row r="26" spans="1:13" s="4" customFormat="1" ht="102" customHeight="1">
      <c r="A26" s="1" t="s">
        <v>274</v>
      </c>
      <c r="B26" s="7" t="s">
        <v>14</v>
      </c>
      <c r="C26" s="31">
        <f>5+0.63</f>
        <v>5.63</v>
      </c>
      <c r="D26" s="17"/>
      <c r="E26" s="17"/>
      <c r="F26" s="48">
        <f aca="true" t="shared" si="4" ref="F26:F46">G26+J26</f>
        <v>0</v>
      </c>
      <c r="G26" s="21"/>
      <c r="H26" s="21"/>
      <c r="I26" s="21"/>
      <c r="J26" s="21"/>
      <c r="K26" s="21"/>
      <c r="L26" s="21"/>
      <c r="M26" s="27">
        <f t="shared" si="3"/>
        <v>5.63</v>
      </c>
    </row>
    <row r="27" spans="1:41" s="101" customFormat="1" ht="30" customHeight="1">
      <c r="A27" s="20"/>
      <c r="B27" s="102" t="s">
        <v>156</v>
      </c>
      <c r="C27" s="26">
        <f>C26</f>
        <v>5.63</v>
      </c>
      <c r="D27" s="26">
        <f>D26</f>
        <v>0</v>
      </c>
      <c r="E27" s="26">
        <f>E26</f>
        <v>0</v>
      </c>
      <c r="F27" s="23">
        <f t="shared" si="4"/>
        <v>0</v>
      </c>
      <c r="G27" s="26">
        <f aca="true" t="shared" si="5" ref="G27:L27">G26</f>
        <v>0</v>
      </c>
      <c r="H27" s="26">
        <f t="shared" si="5"/>
        <v>0</v>
      </c>
      <c r="I27" s="26">
        <f t="shared" si="5"/>
        <v>0</v>
      </c>
      <c r="J27" s="26">
        <f t="shared" si="5"/>
        <v>0</v>
      </c>
      <c r="K27" s="26">
        <f t="shared" si="5"/>
        <v>0</v>
      </c>
      <c r="L27" s="26">
        <f t="shared" si="5"/>
        <v>0</v>
      </c>
      <c r="M27" s="26">
        <f t="shared" si="3"/>
        <v>5.63</v>
      </c>
      <c r="N27" s="99">
        <f>C27+2.4</f>
        <v>8.03</v>
      </c>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row>
    <row r="28" spans="1:13" s="81" customFormat="1" ht="27.75" customHeight="1">
      <c r="A28" s="94" t="s">
        <v>158</v>
      </c>
      <c r="B28" s="95" t="s">
        <v>238</v>
      </c>
      <c r="C28" s="96"/>
      <c r="D28" s="96"/>
      <c r="E28" s="96"/>
      <c r="F28" s="97"/>
      <c r="G28" s="96"/>
      <c r="H28" s="96"/>
      <c r="I28" s="96"/>
      <c r="J28" s="96"/>
      <c r="K28" s="96"/>
      <c r="L28" s="96"/>
      <c r="M28" s="98">
        <f t="shared" si="3"/>
        <v>0</v>
      </c>
    </row>
    <row r="29" spans="1:13" s="4" customFormat="1" ht="27.75" customHeight="1">
      <c r="A29" s="1"/>
      <c r="B29" s="152" t="s">
        <v>282</v>
      </c>
      <c r="C29" s="17">
        <f>C34+536.6</f>
        <v>846.4000000000001</v>
      </c>
      <c r="D29" s="17"/>
      <c r="E29" s="17"/>
      <c r="F29" s="153">
        <f>G29+J29</f>
        <v>148.6188</v>
      </c>
      <c r="G29" s="17">
        <f>G33</f>
        <v>148.6188</v>
      </c>
      <c r="H29" s="17">
        <f>H33</f>
        <v>0</v>
      </c>
      <c r="I29" s="17">
        <f>I33</f>
        <v>0</v>
      </c>
      <c r="J29" s="17">
        <f>J33</f>
        <v>0</v>
      </c>
      <c r="K29" s="17">
        <f>K33</f>
        <v>0</v>
      </c>
      <c r="L29" s="17"/>
      <c r="M29" s="154">
        <f t="shared" si="3"/>
        <v>995.0188</v>
      </c>
    </row>
    <row r="30" spans="1:14" s="4" customFormat="1" ht="24.75" customHeight="1">
      <c r="A30" s="1" t="s">
        <v>158</v>
      </c>
      <c r="B30" s="15" t="s">
        <v>28</v>
      </c>
      <c r="C30" s="17">
        <f>SUM(C31:C39)</f>
        <v>57542.279440000006</v>
      </c>
      <c r="D30" s="17">
        <f>SUM(D31:D39)</f>
        <v>34593.12</v>
      </c>
      <c r="E30" s="17">
        <f>SUM(E31:E39)</f>
        <v>3858.769</v>
      </c>
      <c r="F30" s="48">
        <f>G30+J30</f>
        <v>4433.98829</v>
      </c>
      <c r="G30" s="17">
        <f aca="true" t="shared" si="6" ref="G30:L30">SUM(G31:G39)</f>
        <v>3513.2198000000003</v>
      </c>
      <c r="H30" s="17">
        <f t="shared" si="6"/>
        <v>326.702</v>
      </c>
      <c r="I30" s="17">
        <f t="shared" si="6"/>
        <v>52.209</v>
      </c>
      <c r="J30" s="17">
        <f>SUM(J31:J39)</f>
        <v>920.7684899999999</v>
      </c>
      <c r="K30" s="17">
        <f t="shared" si="6"/>
        <v>837.2684899999999</v>
      </c>
      <c r="L30" s="17">
        <f t="shared" si="6"/>
        <v>0</v>
      </c>
      <c r="M30" s="27">
        <f t="shared" si="3"/>
        <v>61976.26773000001</v>
      </c>
      <c r="N30" s="53">
        <f>C30+99.396</f>
        <v>57641.675440000006</v>
      </c>
    </row>
    <row r="31" spans="1:13" s="4" customFormat="1" ht="25.5" customHeight="1">
      <c r="A31" s="1" t="s">
        <v>241</v>
      </c>
      <c r="B31" s="10" t="s">
        <v>127</v>
      </c>
      <c r="C31" s="17">
        <f>20891.04+282.90885</f>
        <v>21173.94885</v>
      </c>
      <c r="D31" s="17">
        <v>12245.442</v>
      </c>
      <c r="E31" s="17">
        <v>1412.596</v>
      </c>
      <c r="F31" s="48">
        <f>G31+J31</f>
        <v>2480.28115</v>
      </c>
      <c r="G31" s="21">
        <v>1841.19</v>
      </c>
      <c r="H31" s="21"/>
      <c r="I31" s="21"/>
      <c r="J31" s="21">
        <v>639.09115</v>
      </c>
      <c r="K31" s="21">
        <v>639.09115</v>
      </c>
      <c r="L31" s="21"/>
      <c r="M31" s="27">
        <f t="shared" si="3"/>
        <v>23654.23</v>
      </c>
    </row>
    <row r="32" spans="1:13" s="4" customFormat="1" ht="40.5" customHeight="1">
      <c r="A32" s="1" t="s">
        <v>242</v>
      </c>
      <c r="B32" s="9" t="s">
        <v>128</v>
      </c>
      <c r="C32" s="17">
        <f>29015.675-536.6+636.7945</f>
        <v>29115.8695</v>
      </c>
      <c r="D32" s="17">
        <v>17869.523</v>
      </c>
      <c r="E32" s="17">
        <v>2288.461</v>
      </c>
      <c r="F32" s="48">
        <f>G32+J32</f>
        <v>1796.66434</v>
      </c>
      <c r="G32" s="21">
        <v>1514.987</v>
      </c>
      <c r="H32" s="21">
        <v>326.702</v>
      </c>
      <c r="I32" s="21">
        <v>52.209</v>
      </c>
      <c r="J32" s="21">
        <f>143.5+138.17734</f>
        <v>281.67733999999996</v>
      </c>
      <c r="K32" s="21">
        <f>60+138.17734</f>
        <v>198.17734</v>
      </c>
      <c r="L32" s="21"/>
      <c r="M32" s="27">
        <f t="shared" si="3"/>
        <v>30912.53384</v>
      </c>
    </row>
    <row r="33" spans="1:14" s="55" customFormat="1" ht="39.75" customHeight="1">
      <c r="A33" s="1" t="s">
        <v>242</v>
      </c>
      <c r="B33" s="9" t="s">
        <v>81</v>
      </c>
      <c r="C33" s="17">
        <v>536.6</v>
      </c>
      <c r="D33" s="35"/>
      <c r="E33" s="35"/>
      <c r="F33" s="48">
        <f t="shared" si="4"/>
        <v>148.6188</v>
      </c>
      <c r="G33" s="31">
        <v>148.6188</v>
      </c>
      <c r="H33" s="35"/>
      <c r="I33" s="35"/>
      <c r="J33" s="31"/>
      <c r="K33" s="31"/>
      <c r="L33" s="35"/>
      <c r="M33" s="27">
        <f t="shared" si="3"/>
        <v>685.2188</v>
      </c>
      <c r="N33" s="54"/>
    </row>
    <row r="34" spans="1:13" s="4" customFormat="1" ht="172.5" customHeight="1">
      <c r="A34" s="1" t="s">
        <v>230</v>
      </c>
      <c r="B34" s="7" t="s">
        <v>279</v>
      </c>
      <c r="C34" s="31">
        <v>309.8</v>
      </c>
      <c r="D34" s="17"/>
      <c r="E34" s="17"/>
      <c r="F34" s="48">
        <f t="shared" si="4"/>
        <v>0</v>
      </c>
      <c r="G34" s="21"/>
      <c r="H34" s="21"/>
      <c r="I34" s="21"/>
      <c r="J34" s="21"/>
      <c r="K34" s="21"/>
      <c r="L34" s="21"/>
      <c r="M34" s="27">
        <f>C34+F34</f>
        <v>309.8</v>
      </c>
    </row>
    <row r="35" spans="1:13" s="4" customFormat="1" ht="41.25" customHeight="1">
      <c r="A35" s="1" t="s">
        <v>217</v>
      </c>
      <c r="B35" s="9" t="s">
        <v>129</v>
      </c>
      <c r="C35" s="17">
        <f>2931.499+35.19628</f>
        <v>2966.69528</v>
      </c>
      <c r="D35" s="17">
        <v>2105.952</v>
      </c>
      <c r="E35" s="17">
        <v>66.469</v>
      </c>
      <c r="F35" s="48">
        <f t="shared" si="4"/>
        <v>8.424</v>
      </c>
      <c r="G35" s="21">
        <v>8.424</v>
      </c>
      <c r="H35" s="21"/>
      <c r="I35" s="21"/>
      <c r="J35" s="21"/>
      <c r="K35" s="21"/>
      <c r="L35" s="21"/>
      <c r="M35" s="27">
        <f t="shared" si="3"/>
        <v>2975.11928</v>
      </c>
    </row>
    <row r="36" spans="1:13" s="4" customFormat="1" ht="26.25" customHeight="1">
      <c r="A36" s="1" t="s">
        <v>243</v>
      </c>
      <c r="B36" s="9" t="s">
        <v>130</v>
      </c>
      <c r="C36" s="17">
        <f>673.697+26.12987</f>
        <v>699.82687</v>
      </c>
      <c r="D36" s="17">
        <v>478.816</v>
      </c>
      <c r="E36" s="17">
        <v>5.95</v>
      </c>
      <c r="F36" s="48">
        <f t="shared" si="4"/>
        <v>0</v>
      </c>
      <c r="G36" s="21"/>
      <c r="H36" s="21"/>
      <c r="I36" s="21"/>
      <c r="J36" s="21"/>
      <c r="K36" s="21"/>
      <c r="L36" s="21"/>
      <c r="M36" s="27">
        <f t="shared" si="3"/>
        <v>699.82687</v>
      </c>
    </row>
    <row r="37" spans="1:13" s="4" customFormat="1" ht="51" customHeight="1">
      <c r="A37" s="1" t="s">
        <v>244</v>
      </c>
      <c r="B37" s="9" t="s">
        <v>131</v>
      </c>
      <c r="C37" s="17">
        <f>1042.11+10.22226</f>
        <v>1052.33226</v>
      </c>
      <c r="D37" s="17">
        <v>751.053</v>
      </c>
      <c r="E37" s="17">
        <v>12.549</v>
      </c>
      <c r="F37" s="48">
        <f t="shared" si="4"/>
        <v>0</v>
      </c>
      <c r="G37" s="21"/>
      <c r="H37" s="21"/>
      <c r="I37" s="21"/>
      <c r="J37" s="21"/>
      <c r="K37" s="21"/>
      <c r="L37" s="21"/>
      <c r="M37" s="27">
        <f t="shared" si="3"/>
        <v>1052.33226</v>
      </c>
    </row>
    <row r="38" spans="1:13" s="4" customFormat="1" ht="46.5" customHeight="1">
      <c r="A38" s="1" t="s">
        <v>245</v>
      </c>
      <c r="B38" s="9" t="s">
        <v>132</v>
      </c>
      <c r="C38" s="17">
        <f>700.498+24.6226</f>
        <v>725.1206000000001</v>
      </c>
      <c r="D38" s="17">
        <v>496.322</v>
      </c>
      <c r="E38" s="17">
        <v>6.676</v>
      </c>
      <c r="F38" s="48">
        <f t="shared" si="4"/>
        <v>0</v>
      </c>
      <c r="G38" s="21"/>
      <c r="H38" s="21"/>
      <c r="I38" s="21"/>
      <c r="J38" s="21"/>
      <c r="K38" s="21"/>
      <c r="L38" s="21"/>
      <c r="M38" s="27">
        <f t="shared" si="3"/>
        <v>725.1206000000001</v>
      </c>
    </row>
    <row r="39" spans="1:13" s="4" customFormat="1" ht="46.5" customHeight="1">
      <c r="A39" s="1" t="s">
        <v>246</v>
      </c>
      <c r="B39" s="9" t="s">
        <v>133</v>
      </c>
      <c r="C39" s="17">
        <f>960.101+1.98508</f>
        <v>962.08608</v>
      </c>
      <c r="D39" s="17">
        <v>646.012</v>
      </c>
      <c r="E39" s="17">
        <v>66.068</v>
      </c>
      <c r="F39" s="48">
        <f t="shared" si="4"/>
        <v>0</v>
      </c>
      <c r="G39" s="21"/>
      <c r="H39" s="21"/>
      <c r="I39" s="21"/>
      <c r="J39" s="21"/>
      <c r="K39" s="21"/>
      <c r="L39" s="21"/>
      <c r="M39" s="27">
        <f t="shared" si="3"/>
        <v>962.08608</v>
      </c>
    </row>
    <row r="40" spans="1:14" s="4" customFormat="1" ht="41.25" customHeight="1">
      <c r="A40" s="1" t="s">
        <v>228</v>
      </c>
      <c r="B40" s="9" t="s">
        <v>139</v>
      </c>
      <c r="C40" s="17">
        <f>35.4+71.148</f>
        <v>106.548</v>
      </c>
      <c r="D40" s="17"/>
      <c r="E40" s="17"/>
      <c r="F40" s="48">
        <f t="shared" si="4"/>
        <v>0</v>
      </c>
      <c r="G40" s="21"/>
      <c r="H40" s="21"/>
      <c r="I40" s="21"/>
      <c r="J40" s="21"/>
      <c r="K40" s="21"/>
      <c r="L40" s="21"/>
      <c r="M40" s="27">
        <f t="shared" si="3"/>
        <v>106.548</v>
      </c>
      <c r="N40" s="53"/>
    </row>
    <row r="41" spans="1:13" s="4" customFormat="1" ht="56.25" customHeight="1">
      <c r="A41" s="1" t="s">
        <v>253</v>
      </c>
      <c r="B41" s="9" t="s">
        <v>134</v>
      </c>
      <c r="C41" s="17">
        <v>14.48</v>
      </c>
      <c r="D41" s="17"/>
      <c r="E41" s="17"/>
      <c r="F41" s="48">
        <f t="shared" si="4"/>
        <v>0</v>
      </c>
      <c r="G41" s="21"/>
      <c r="H41" s="21"/>
      <c r="I41" s="21"/>
      <c r="J41" s="21"/>
      <c r="K41" s="21"/>
      <c r="L41" s="21"/>
      <c r="M41" s="27">
        <f t="shared" si="3"/>
        <v>14.48</v>
      </c>
    </row>
    <row r="42" spans="1:41" s="106" customFormat="1" ht="45" customHeight="1">
      <c r="A42" s="104"/>
      <c r="B42" s="107" t="s">
        <v>156</v>
      </c>
      <c r="C42" s="26">
        <f>SUM(C31:C41)</f>
        <v>57663.30744000001</v>
      </c>
      <c r="D42" s="26">
        <f>SUM(D31:D41)</f>
        <v>34593.12</v>
      </c>
      <c r="E42" s="26">
        <f>SUM(E31:E41)</f>
        <v>3858.769</v>
      </c>
      <c r="F42" s="23">
        <f t="shared" si="4"/>
        <v>4433.98829</v>
      </c>
      <c r="G42" s="26">
        <f aca="true" t="shared" si="7" ref="G42:L42">SUM(G31:G41)</f>
        <v>3513.2198000000003</v>
      </c>
      <c r="H42" s="26">
        <f t="shared" si="7"/>
        <v>326.702</v>
      </c>
      <c r="I42" s="26">
        <f t="shared" si="7"/>
        <v>52.209</v>
      </c>
      <c r="J42" s="26">
        <f t="shared" si="7"/>
        <v>920.7684899999999</v>
      </c>
      <c r="K42" s="26">
        <f t="shared" si="7"/>
        <v>837.2684899999999</v>
      </c>
      <c r="L42" s="26">
        <f t="shared" si="7"/>
        <v>0</v>
      </c>
      <c r="M42" s="26">
        <f t="shared" si="3"/>
        <v>62097.29573000001</v>
      </c>
      <c r="N42" s="103">
        <f>C42+86.4363</f>
        <v>57749.74374000001</v>
      </c>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row>
    <row r="43" spans="1:14" s="52" customFormat="1" ht="12.75" customHeight="1" hidden="1">
      <c r="A43" s="1" t="s">
        <v>208</v>
      </c>
      <c r="B43" s="10" t="s">
        <v>209</v>
      </c>
      <c r="C43" s="35"/>
      <c r="D43" s="35"/>
      <c r="E43" s="35"/>
      <c r="F43" s="48">
        <f t="shared" si="4"/>
        <v>0</v>
      </c>
      <c r="G43" s="35"/>
      <c r="H43" s="35"/>
      <c r="I43" s="35"/>
      <c r="J43" s="35"/>
      <c r="K43" s="35"/>
      <c r="L43" s="35"/>
      <c r="M43" s="27">
        <f t="shared" si="3"/>
        <v>0</v>
      </c>
      <c r="N43" s="51"/>
    </row>
    <row r="44" spans="1:13" s="80" customFormat="1" ht="48" customHeight="1">
      <c r="A44" s="94" t="s">
        <v>159</v>
      </c>
      <c r="B44" s="93" t="s">
        <v>219</v>
      </c>
      <c r="C44" s="79"/>
      <c r="D44" s="79"/>
      <c r="E44" s="79"/>
      <c r="F44" s="70"/>
      <c r="G44" s="79"/>
      <c r="H44" s="79"/>
      <c r="I44" s="79"/>
      <c r="J44" s="79"/>
      <c r="K44" s="79"/>
      <c r="L44" s="79"/>
      <c r="M44" s="71">
        <f t="shared" si="3"/>
        <v>0</v>
      </c>
    </row>
    <row r="45" spans="1:22" s="4" customFormat="1" ht="27.75" customHeight="1">
      <c r="A45" s="1"/>
      <c r="B45" s="155" t="s">
        <v>282</v>
      </c>
      <c r="C45" s="17">
        <f>C46+C47+C48+C49+C50+C53+C54+C55+C57+C59+C60+C61+C62+C63+C64+C65+C66+C67+C68+C107+C58+C85</f>
        <v>38803.99999999999</v>
      </c>
      <c r="D45" s="17">
        <f>D46+D47+D48+D49+D53+D54+D55+D57+D59+D60+D61+D62+D63+D64+D66+D67+D107+D58</f>
        <v>0</v>
      </c>
      <c r="E45" s="17">
        <f>E46+E47+E48+E49+E53+E54+E55+E57+E59+E60+E61+E62+E63+E64+E66+E67+E107+E58</f>
        <v>0</v>
      </c>
      <c r="F45" s="153">
        <f t="shared" si="4"/>
        <v>0</v>
      </c>
      <c r="G45" s="17">
        <f>G46+G47+G48+G49+G53+G54+G55+G57+G59+G60+G61+G62+G63+G64+G66+G67+G107+G58</f>
        <v>0</v>
      </c>
      <c r="H45" s="17">
        <f>H46+H47+H48+H49+H53+H54+H55+H57+H59+H60+H61+H62+H63+H64+H66+H67+H107+H58</f>
        <v>0</v>
      </c>
      <c r="I45" s="17">
        <f>I46+I47+I48+I49+I53+I54+I55+I57+I59+I60+I61+I62+I63+I64+I66+I67+I107+I58</f>
        <v>0</v>
      </c>
      <c r="J45" s="17">
        <f>J46+J47+J48+J49+J53+J54+J55+J57+J59+J60+J61+J62+J63+J64+J66+J67+J107+J58+J103</f>
        <v>0</v>
      </c>
      <c r="K45" s="17">
        <f>K46+K47+K48+K49+K53+K54+K55+K57+K59+K60+K61+K62+K63+K64+K66+K67+K107+K58+K103</f>
        <v>0</v>
      </c>
      <c r="L45" s="17">
        <f>L46+L47+L48+L49+L53+L54+L55+L57+L59+L60+L61+L62+L63+L64+L66+L67+L107+L58</f>
        <v>0</v>
      </c>
      <c r="M45" s="154">
        <f t="shared" si="3"/>
        <v>38803.99999999999</v>
      </c>
      <c r="N45" s="53">
        <f>C45-32874.4</f>
        <v>5929.599999999991</v>
      </c>
      <c r="U45" s="4">
        <v>410352</v>
      </c>
      <c r="V45" s="4" t="s">
        <v>10</v>
      </c>
    </row>
    <row r="46" spans="1:22" s="4" customFormat="1" ht="279.75" customHeight="1">
      <c r="A46" s="1" t="s">
        <v>199</v>
      </c>
      <c r="B46" s="9" t="s">
        <v>94</v>
      </c>
      <c r="C46" s="17">
        <f>1504.1</f>
        <v>1504.1</v>
      </c>
      <c r="D46" s="17"/>
      <c r="E46" s="17"/>
      <c r="F46" s="48">
        <f t="shared" si="4"/>
        <v>0</v>
      </c>
      <c r="G46" s="17"/>
      <c r="H46" s="17"/>
      <c r="I46" s="17"/>
      <c r="J46" s="17"/>
      <c r="K46" s="17"/>
      <c r="L46" s="17"/>
      <c r="M46" s="27">
        <f>C46+F46</f>
        <v>1504.1</v>
      </c>
      <c r="N46" s="8"/>
      <c r="O46" s="8"/>
      <c r="P46" s="8"/>
      <c r="Q46" s="8"/>
      <c r="R46" s="8"/>
      <c r="S46" s="8"/>
      <c r="T46" s="8"/>
      <c r="U46" s="8">
        <f>C56+C90+C88+C108+C109+C83</f>
        <v>235.51</v>
      </c>
      <c r="V46" s="8">
        <f>C69+C70+C71+C72</f>
        <v>85</v>
      </c>
    </row>
    <row r="47" spans="1:21" s="4" customFormat="1" ht="261.75" customHeight="1">
      <c r="A47" s="1" t="s">
        <v>200</v>
      </c>
      <c r="B47" s="9" t="s">
        <v>95</v>
      </c>
      <c r="C47" s="17">
        <v>2.5</v>
      </c>
      <c r="D47" s="17"/>
      <c r="E47" s="17"/>
      <c r="F47" s="48">
        <f>G47+J47</f>
        <v>0</v>
      </c>
      <c r="G47" s="17"/>
      <c r="H47" s="17"/>
      <c r="I47" s="17"/>
      <c r="J47" s="17"/>
      <c r="K47" s="17"/>
      <c r="L47" s="17"/>
      <c r="M47" s="27">
        <f>C47+F47</f>
        <v>2.5</v>
      </c>
      <c r="N47" s="8"/>
      <c r="U47" s="8">
        <f>U46-2459.9</f>
        <v>-2224.3900000000003</v>
      </c>
    </row>
    <row r="48" spans="1:14" s="4" customFormat="1" ht="266.25" customHeight="1">
      <c r="A48" s="1" t="s">
        <v>201</v>
      </c>
      <c r="B48" s="9" t="s">
        <v>96</v>
      </c>
      <c r="C48" s="17">
        <v>16</v>
      </c>
      <c r="D48" s="17"/>
      <c r="E48" s="17"/>
      <c r="F48" s="48">
        <f aca="true" t="shared" si="8" ref="F48:F109">G48+J48</f>
        <v>0</v>
      </c>
      <c r="G48" s="17"/>
      <c r="H48" s="17"/>
      <c r="I48" s="17"/>
      <c r="J48" s="17"/>
      <c r="K48" s="17"/>
      <c r="L48" s="17"/>
      <c r="M48" s="27">
        <f aca="true" t="shared" si="9" ref="M48:M109">C48+F48</f>
        <v>16</v>
      </c>
      <c r="N48" s="8"/>
    </row>
    <row r="49" spans="1:13" s="4" customFormat="1" ht="409.5" customHeight="1">
      <c r="A49" s="166" t="s">
        <v>202</v>
      </c>
      <c r="B49" s="56" t="s">
        <v>99</v>
      </c>
      <c r="C49" s="25"/>
      <c r="D49" s="17"/>
      <c r="E49" s="17"/>
      <c r="F49" s="48">
        <f t="shared" si="8"/>
        <v>0</v>
      </c>
      <c r="G49" s="17"/>
      <c r="H49" s="17"/>
      <c r="I49" s="17"/>
      <c r="J49" s="17"/>
      <c r="K49" s="17"/>
      <c r="L49" s="17"/>
      <c r="M49" s="27">
        <f t="shared" si="9"/>
        <v>0</v>
      </c>
    </row>
    <row r="50" spans="1:13" s="4" customFormat="1" ht="328.5" customHeight="1">
      <c r="A50" s="167"/>
      <c r="B50" s="137" t="s">
        <v>100</v>
      </c>
      <c r="C50" s="138">
        <f>500</f>
        <v>500</v>
      </c>
      <c r="D50" s="17"/>
      <c r="E50" s="17"/>
      <c r="F50" s="48">
        <f t="shared" si="8"/>
        <v>0</v>
      </c>
      <c r="G50" s="17"/>
      <c r="H50" s="17"/>
      <c r="I50" s="17"/>
      <c r="J50" s="17"/>
      <c r="K50" s="17"/>
      <c r="L50" s="17"/>
      <c r="M50" s="27">
        <f t="shared" si="9"/>
        <v>500</v>
      </c>
    </row>
    <row r="51" spans="1:14" s="88" customFormat="1" ht="33" customHeight="1" hidden="1">
      <c r="A51" s="86" t="s">
        <v>223</v>
      </c>
      <c r="B51" s="85" t="s">
        <v>232</v>
      </c>
      <c r="C51" s="28"/>
      <c r="D51" s="28"/>
      <c r="E51" s="28"/>
      <c r="F51" s="18">
        <f t="shared" si="8"/>
        <v>0</v>
      </c>
      <c r="G51" s="28"/>
      <c r="H51" s="28"/>
      <c r="I51" s="28"/>
      <c r="J51" s="28"/>
      <c r="K51" s="28"/>
      <c r="L51" s="28"/>
      <c r="M51" s="22">
        <f t="shared" si="9"/>
        <v>0</v>
      </c>
      <c r="N51" s="87"/>
    </row>
    <row r="52" spans="1:14" s="88" customFormat="1" ht="48.75" customHeight="1" hidden="1">
      <c r="A52" s="86" t="s">
        <v>214</v>
      </c>
      <c r="B52" s="83" t="s">
        <v>231</v>
      </c>
      <c r="C52" s="28"/>
      <c r="D52" s="28"/>
      <c r="E52" s="28"/>
      <c r="F52" s="18">
        <f t="shared" si="8"/>
        <v>0</v>
      </c>
      <c r="G52" s="28"/>
      <c r="H52" s="28"/>
      <c r="I52" s="28"/>
      <c r="J52" s="28"/>
      <c r="K52" s="28"/>
      <c r="L52" s="28"/>
      <c r="M52" s="22">
        <f t="shared" si="9"/>
        <v>0</v>
      </c>
      <c r="N52" s="87"/>
    </row>
    <row r="53" spans="1:13" s="4" customFormat="1" ht="120.75" customHeight="1">
      <c r="A53" s="1" t="s">
        <v>212</v>
      </c>
      <c r="B53" s="9" t="s">
        <v>101</v>
      </c>
      <c r="C53" s="17">
        <f>1000</f>
        <v>1000</v>
      </c>
      <c r="D53" s="17"/>
      <c r="E53" s="17"/>
      <c r="F53" s="48">
        <f t="shared" si="8"/>
        <v>0</v>
      </c>
      <c r="G53" s="17"/>
      <c r="H53" s="17"/>
      <c r="I53" s="17"/>
      <c r="J53" s="17"/>
      <c r="K53" s="17"/>
      <c r="L53" s="17"/>
      <c r="M53" s="27">
        <f t="shared" si="9"/>
        <v>1000</v>
      </c>
    </row>
    <row r="54" spans="1:13" s="4" customFormat="1" ht="124.5" customHeight="1">
      <c r="A54" s="1" t="s">
        <v>224</v>
      </c>
      <c r="B54" s="9" t="s">
        <v>102</v>
      </c>
      <c r="C54" s="17">
        <v>0.5</v>
      </c>
      <c r="D54" s="17"/>
      <c r="E54" s="17"/>
      <c r="F54" s="48">
        <f t="shared" si="8"/>
        <v>0</v>
      </c>
      <c r="G54" s="17"/>
      <c r="H54" s="17"/>
      <c r="I54" s="17"/>
      <c r="J54" s="17"/>
      <c r="K54" s="17"/>
      <c r="L54" s="17"/>
      <c r="M54" s="27">
        <f t="shared" si="9"/>
        <v>0.5</v>
      </c>
    </row>
    <row r="55" spans="1:13" s="4" customFormat="1" ht="121.5" customHeight="1">
      <c r="A55" s="1" t="s">
        <v>194</v>
      </c>
      <c r="B55" s="9" t="s">
        <v>103</v>
      </c>
      <c r="C55" s="17">
        <f>30</f>
        <v>30</v>
      </c>
      <c r="D55" s="17"/>
      <c r="E55" s="17"/>
      <c r="F55" s="48">
        <f t="shared" si="8"/>
        <v>0</v>
      </c>
      <c r="G55" s="17"/>
      <c r="H55" s="17"/>
      <c r="I55" s="17"/>
      <c r="J55" s="17"/>
      <c r="K55" s="17"/>
      <c r="L55" s="17"/>
      <c r="M55" s="27">
        <f t="shared" si="9"/>
        <v>30</v>
      </c>
    </row>
    <row r="56" spans="1:13" s="4" customFormat="1" ht="63.75" customHeight="1">
      <c r="A56" s="1" t="s">
        <v>229</v>
      </c>
      <c r="B56" s="9" t="s">
        <v>50</v>
      </c>
      <c r="C56" s="17">
        <v>166.7</v>
      </c>
      <c r="D56" s="17"/>
      <c r="E56" s="17"/>
      <c r="F56" s="48">
        <f t="shared" si="8"/>
        <v>0</v>
      </c>
      <c r="G56" s="17"/>
      <c r="H56" s="17"/>
      <c r="I56" s="17"/>
      <c r="J56" s="17"/>
      <c r="K56" s="17"/>
      <c r="L56" s="17"/>
      <c r="M56" s="27">
        <f t="shared" si="9"/>
        <v>166.7</v>
      </c>
    </row>
    <row r="57" spans="1:13" s="4" customFormat="1" ht="50.25" customHeight="1">
      <c r="A57" s="1" t="s">
        <v>234</v>
      </c>
      <c r="B57" s="9" t="s">
        <v>104</v>
      </c>
      <c r="C57" s="17">
        <f>217</f>
        <v>217</v>
      </c>
      <c r="D57" s="17"/>
      <c r="E57" s="17"/>
      <c r="F57" s="48">
        <f t="shared" si="8"/>
        <v>0</v>
      </c>
      <c r="G57" s="17"/>
      <c r="H57" s="17"/>
      <c r="I57" s="17"/>
      <c r="J57" s="17"/>
      <c r="K57" s="17"/>
      <c r="L57" s="17"/>
      <c r="M57" s="27">
        <f t="shared" si="9"/>
        <v>217</v>
      </c>
    </row>
    <row r="58" spans="1:13" s="4" customFormat="1" ht="166.5" customHeight="1">
      <c r="A58" s="1" t="s">
        <v>51</v>
      </c>
      <c r="B58" s="9" t="s">
        <v>105</v>
      </c>
      <c r="C58" s="17">
        <f>220</f>
        <v>220</v>
      </c>
      <c r="D58" s="17"/>
      <c r="E58" s="17"/>
      <c r="F58" s="48">
        <f t="shared" si="8"/>
        <v>0</v>
      </c>
      <c r="G58" s="17"/>
      <c r="H58" s="17"/>
      <c r="I58" s="17"/>
      <c r="J58" s="17"/>
      <c r="K58" s="17"/>
      <c r="L58" s="17"/>
      <c r="M58" s="27">
        <f t="shared" si="9"/>
        <v>220</v>
      </c>
    </row>
    <row r="59" spans="1:13" s="4" customFormat="1" ht="37.5">
      <c r="A59" s="1" t="s">
        <v>203</v>
      </c>
      <c r="B59" s="10" t="s">
        <v>260</v>
      </c>
      <c r="C59" s="17">
        <v>300.7</v>
      </c>
      <c r="D59" s="17"/>
      <c r="E59" s="17"/>
      <c r="F59" s="48">
        <f t="shared" si="8"/>
        <v>0</v>
      </c>
      <c r="G59" s="17"/>
      <c r="H59" s="17"/>
      <c r="I59" s="17"/>
      <c r="J59" s="17"/>
      <c r="K59" s="17"/>
      <c r="L59" s="17"/>
      <c r="M59" s="27">
        <f t="shared" si="9"/>
        <v>300.7</v>
      </c>
    </row>
    <row r="60" spans="1:13" s="4" customFormat="1" ht="37.5" customHeight="1">
      <c r="A60" s="1" t="s">
        <v>204</v>
      </c>
      <c r="B60" s="10" t="s">
        <v>261</v>
      </c>
      <c r="C60" s="17">
        <v>4300.8</v>
      </c>
      <c r="D60" s="17"/>
      <c r="E60" s="17"/>
      <c r="F60" s="48">
        <f t="shared" si="8"/>
        <v>0</v>
      </c>
      <c r="G60" s="17"/>
      <c r="H60" s="17"/>
      <c r="I60" s="17"/>
      <c r="J60" s="17"/>
      <c r="K60" s="17"/>
      <c r="L60" s="17"/>
      <c r="M60" s="27">
        <f t="shared" si="9"/>
        <v>4300.8</v>
      </c>
    </row>
    <row r="61" spans="1:13" s="4" customFormat="1" ht="40.5" customHeight="1">
      <c r="A61" s="1" t="s">
        <v>205</v>
      </c>
      <c r="B61" s="10" t="s">
        <v>69</v>
      </c>
      <c r="C61" s="17">
        <v>19697.4</v>
      </c>
      <c r="D61" s="17"/>
      <c r="E61" s="17"/>
      <c r="F61" s="48">
        <f t="shared" si="8"/>
        <v>0</v>
      </c>
      <c r="G61" s="17"/>
      <c r="H61" s="17"/>
      <c r="I61" s="17"/>
      <c r="J61" s="17"/>
      <c r="K61" s="17"/>
      <c r="L61" s="17"/>
      <c r="M61" s="27">
        <f t="shared" si="9"/>
        <v>19697.4</v>
      </c>
    </row>
    <row r="62" spans="1:13" s="4" customFormat="1" ht="53.25" customHeight="1">
      <c r="A62" s="1" t="s">
        <v>206</v>
      </c>
      <c r="B62" s="10" t="s">
        <v>269</v>
      </c>
      <c r="C62" s="31">
        <v>2050.5</v>
      </c>
      <c r="D62" s="17"/>
      <c r="E62" s="17"/>
      <c r="F62" s="48">
        <f t="shared" si="8"/>
        <v>0</v>
      </c>
      <c r="G62" s="17"/>
      <c r="H62" s="17"/>
      <c r="I62" s="17"/>
      <c r="J62" s="17"/>
      <c r="K62" s="17"/>
      <c r="L62" s="17"/>
      <c r="M62" s="27">
        <f t="shared" si="9"/>
        <v>2050.5</v>
      </c>
    </row>
    <row r="63" spans="1:13" s="4" customFormat="1" ht="39" customHeight="1">
      <c r="A63" s="1" t="s">
        <v>207</v>
      </c>
      <c r="B63" s="10" t="s">
        <v>268</v>
      </c>
      <c r="C63" s="31">
        <v>2700.7</v>
      </c>
      <c r="D63" s="17"/>
      <c r="E63" s="17"/>
      <c r="F63" s="48">
        <f t="shared" si="8"/>
        <v>0</v>
      </c>
      <c r="G63" s="17"/>
      <c r="H63" s="17"/>
      <c r="I63" s="17"/>
      <c r="J63" s="17"/>
      <c r="K63" s="17"/>
      <c r="L63" s="17"/>
      <c r="M63" s="27">
        <f t="shared" si="9"/>
        <v>2700.7</v>
      </c>
    </row>
    <row r="64" spans="1:13" s="4" customFormat="1" ht="46.5" customHeight="1">
      <c r="A64" s="1" t="s">
        <v>225</v>
      </c>
      <c r="B64" s="10" t="s">
        <v>262</v>
      </c>
      <c r="C64" s="31">
        <v>621.2</v>
      </c>
      <c r="D64" s="17"/>
      <c r="E64" s="17"/>
      <c r="F64" s="48">
        <f t="shared" si="8"/>
        <v>0</v>
      </c>
      <c r="G64" s="17"/>
      <c r="H64" s="17"/>
      <c r="I64" s="17"/>
      <c r="J64" s="17"/>
      <c r="K64" s="17"/>
      <c r="L64" s="17"/>
      <c r="M64" s="27">
        <f t="shared" si="9"/>
        <v>621.2</v>
      </c>
    </row>
    <row r="65" spans="1:13" s="4" customFormat="1" ht="47.25" customHeight="1">
      <c r="A65" s="1" t="s">
        <v>24</v>
      </c>
      <c r="B65" s="10" t="s">
        <v>25</v>
      </c>
      <c r="C65" s="31">
        <v>60.2</v>
      </c>
      <c r="D65" s="17"/>
      <c r="E65" s="17"/>
      <c r="F65" s="48">
        <f t="shared" si="8"/>
        <v>0</v>
      </c>
      <c r="G65" s="17"/>
      <c r="H65" s="17"/>
      <c r="I65" s="17"/>
      <c r="J65" s="17"/>
      <c r="K65" s="17"/>
      <c r="L65" s="17"/>
      <c r="M65" s="27">
        <f t="shared" si="9"/>
        <v>60.2</v>
      </c>
    </row>
    <row r="66" spans="1:13" s="4" customFormat="1" ht="49.5" customHeight="1">
      <c r="A66" s="1" t="s">
        <v>160</v>
      </c>
      <c r="B66" s="10" t="s">
        <v>263</v>
      </c>
      <c r="C66" s="31">
        <v>1504.1</v>
      </c>
      <c r="D66" s="17"/>
      <c r="E66" s="17"/>
      <c r="F66" s="48">
        <f t="shared" si="8"/>
        <v>0</v>
      </c>
      <c r="G66" s="17"/>
      <c r="H66" s="17"/>
      <c r="I66" s="17"/>
      <c r="J66" s="17"/>
      <c r="K66" s="17"/>
      <c r="L66" s="17"/>
      <c r="M66" s="27">
        <f t="shared" si="9"/>
        <v>1504.1</v>
      </c>
    </row>
    <row r="67" spans="1:13" s="4" customFormat="1" ht="69.75" customHeight="1">
      <c r="A67" s="1" t="s">
        <v>170</v>
      </c>
      <c r="B67" s="10" t="s">
        <v>140</v>
      </c>
      <c r="C67" s="17">
        <f>480</f>
        <v>480</v>
      </c>
      <c r="D67" s="17"/>
      <c r="E67" s="17"/>
      <c r="F67" s="48">
        <f t="shared" si="8"/>
        <v>0</v>
      </c>
      <c r="G67" s="17"/>
      <c r="H67" s="17"/>
      <c r="I67" s="17"/>
      <c r="J67" s="17"/>
      <c r="K67" s="17"/>
      <c r="L67" s="17"/>
      <c r="M67" s="27">
        <f t="shared" si="9"/>
        <v>480</v>
      </c>
    </row>
    <row r="68" spans="1:13" s="4" customFormat="1" ht="82.5" customHeight="1">
      <c r="A68" s="1" t="s">
        <v>276</v>
      </c>
      <c r="B68" s="10" t="s">
        <v>8</v>
      </c>
      <c r="C68" s="17">
        <v>0.2</v>
      </c>
      <c r="D68" s="17"/>
      <c r="E68" s="17"/>
      <c r="F68" s="48">
        <f t="shared" si="8"/>
        <v>0</v>
      </c>
      <c r="G68" s="17"/>
      <c r="H68" s="17"/>
      <c r="I68" s="17"/>
      <c r="J68" s="17"/>
      <c r="K68" s="17"/>
      <c r="L68" s="17"/>
      <c r="M68" s="27">
        <f t="shared" si="9"/>
        <v>0.2</v>
      </c>
    </row>
    <row r="69" spans="1:13" s="4" customFormat="1" ht="90.75" customHeight="1" hidden="1">
      <c r="A69" s="1" t="s">
        <v>171</v>
      </c>
      <c r="B69" s="10" t="s">
        <v>9</v>
      </c>
      <c r="C69" s="17"/>
      <c r="D69" s="17"/>
      <c r="E69" s="17"/>
      <c r="F69" s="48">
        <f t="shared" si="8"/>
        <v>0</v>
      </c>
      <c r="G69" s="17"/>
      <c r="H69" s="17"/>
      <c r="I69" s="17"/>
      <c r="J69" s="17"/>
      <c r="K69" s="17"/>
      <c r="L69" s="17"/>
      <c r="M69" s="27">
        <f t="shared" si="9"/>
        <v>0</v>
      </c>
    </row>
    <row r="70" spans="1:13" s="4" customFormat="1" ht="63" customHeight="1">
      <c r="A70" s="1" t="s">
        <v>171</v>
      </c>
      <c r="B70" s="10" t="s">
        <v>144</v>
      </c>
      <c r="C70" s="17">
        <v>50</v>
      </c>
      <c r="D70" s="17"/>
      <c r="E70" s="17"/>
      <c r="F70" s="48">
        <f t="shared" si="8"/>
        <v>0</v>
      </c>
      <c r="G70" s="17"/>
      <c r="H70" s="17"/>
      <c r="I70" s="17"/>
      <c r="J70" s="17"/>
      <c r="K70" s="17"/>
      <c r="L70" s="17"/>
      <c r="M70" s="27">
        <f t="shared" si="9"/>
        <v>50</v>
      </c>
    </row>
    <row r="71" spans="1:13" s="4" customFormat="1" ht="88.5" customHeight="1">
      <c r="A71" s="1" t="s">
        <v>171</v>
      </c>
      <c r="B71" s="10" t="s">
        <v>283</v>
      </c>
      <c r="C71" s="17">
        <v>5</v>
      </c>
      <c r="D71" s="17"/>
      <c r="E71" s="17"/>
      <c r="F71" s="48">
        <f t="shared" si="8"/>
        <v>0</v>
      </c>
      <c r="G71" s="17"/>
      <c r="H71" s="17"/>
      <c r="I71" s="17"/>
      <c r="J71" s="17">
        <f>250-250</f>
        <v>0</v>
      </c>
      <c r="K71" s="17">
        <f>250-250</f>
        <v>0</v>
      </c>
      <c r="L71" s="17">
        <f>250-250</f>
        <v>0</v>
      </c>
      <c r="M71" s="27">
        <f t="shared" si="9"/>
        <v>5</v>
      </c>
    </row>
    <row r="72" spans="1:13" s="4" customFormat="1" ht="75.75" customHeight="1">
      <c r="A72" s="1" t="s">
        <v>171</v>
      </c>
      <c r="B72" s="10" t="s">
        <v>11</v>
      </c>
      <c r="C72" s="17">
        <v>30</v>
      </c>
      <c r="D72" s="17"/>
      <c r="E72" s="17"/>
      <c r="F72" s="48">
        <f t="shared" si="8"/>
        <v>0</v>
      </c>
      <c r="G72" s="17"/>
      <c r="H72" s="17"/>
      <c r="I72" s="17"/>
      <c r="J72" s="17"/>
      <c r="K72" s="17"/>
      <c r="L72" s="17"/>
      <c r="M72" s="27">
        <f t="shared" si="9"/>
        <v>30</v>
      </c>
    </row>
    <row r="73" spans="1:13" s="4" customFormat="1" ht="61.5" customHeight="1" hidden="1">
      <c r="A73" s="1" t="s">
        <v>171</v>
      </c>
      <c r="B73" s="30" t="s">
        <v>284</v>
      </c>
      <c r="C73" s="17"/>
      <c r="D73" s="17"/>
      <c r="E73" s="17"/>
      <c r="F73" s="48">
        <f t="shared" si="8"/>
        <v>0</v>
      </c>
      <c r="G73" s="17"/>
      <c r="H73" s="17"/>
      <c r="I73" s="17"/>
      <c r="J73" s="17"/>
      <c r="K73" s="17"/>
      <c r="L73" s="17"/>
      <c r="M73" s="27">
        <f t="shared" si="9"/>
        <v>0</v>
      </c>
    </row>
    <row r="74" spans="1:13" s="4" customFormat="1" ht="60" customHeight="1" hidden="1">
      <c r="A74" s="1" t="s">
        <v>171</v>
      </c>
      <c r="B74" s="30" t="s">
        <v>286</v>
      </c>
      <c r="C74" s="17"/>
      <c r="D74" s="17"/>
      <c r="E74" s="17"/>
      <c r="F74" s="48">
        <f t="shared" si="8"/>
        <v>0</v>
      </c>
      <c r="G74" s="17"/>
      <c r="H74" s="17"/>
      <c r="I74" s="17"/>
      <c r="J74" s="17"/>
      <c r="K74" s="17"/>
      <c r="L74" s="17"/>
      <c r="M74" s="27">
        <f t="shared" si="9"/>
        <v>0</v>
      </c>
    </row>
    <row r="75" spans="1:13" s="4" customFormat="1" ht="61.5" customHeight="1" hidden="1">
      <c r="A75" s="1" t="s">
        <v>171</v>
      </c>
      <c r="B75" s="30" t="s">
        <v>118</v>
      </c>
      <c r="C75" s="17"/>
      <c r="D75" s="17"/>
      <c r="E75" s="17"/>
      <c r="F75" s="48">
        <f t="shared" si="8"/>
        <v>0</v>
      </c>
      <c r="G75" s="17"/>
      <c r="H75" s="17"/>
      <c r="I75" s="17"/>
      <c r="J75" s="17"/>
      <c r="K75" s="17"/>
      <c r="L75" s="17"/>
      <c r="M75" s="27">
        <f t="shared" si="9"/>
        <v>0</v>
      </c>
    </row>
    <row r="76" spans="1:13" s="4" customFormat="1" ht="64.5" customHeight="1" hidden="1">
      <c r="A76" s="1" t="s">
        <v>171</v>
      </c>
      <c r="B76" s="15" t="s">
        <v>119</v>
      </c>
      <c r="C76" s="17"/>
      <c r="D76" s="17"/>
      <c r="E76" s="17"/>
      <c r="F76" s="48">
        <f t="shared" si="8"/>
        <v>0</v>
      </c>
      <c r="G76" s="17"/>
      <c r="H76" s="17"/>
      <c r="I76" s="17"/>
      <c r="J76" s="17"/>
      <c r="K76" s="17"/>
      <c r="L76" s="17"/>
      <c r="M76" s="27">
        <f t="shared" si="9"/>
        <v>0</v>
      </c>
    </row>
    <row r="77" spans="1:13" s="4" customFormat="1" ht="69.75" customHeight="1" hidden="1">
      <c r="A77" s="1" t="s">
        <v>171</v>
      </c>
      <c r="B77" s="10" t="s">
        <v>287</v>
      </c>
      <c r="C77" s="17"/>
      <c r="D77" s="17"/>
      <c r="E77" s="17"/>
      <c r="F77" s="48">
        <f t="shared" si="8"/>
        <v>0</v>
      </c>
      <c r="G77" s="17"/>
      <c r="H77" s="17"/>
      <c r="I77" s="17"/>
      <c r="J77" s="17"/>
      <c r="K77" s="17"/>
      <c r="L77" s="17"/>
      <c r="M77" s="27">
        <f t="shared" si="9"/>
        <v>0</v>
      </c>
    </row>
    <row r="78" spans="1:13" s="4" customFormat="1" ht="55.5" customHeight="1" hidden="1">
      <c r="A78" s="1" t="s">
        <v>171</v>
      </c>
      <c r="B78" s="10" t="s">
        <v>285</v>
      </c>
      <c r="C78" s="17"/>
      <c r="D78" s="17"/>
      <c r="E78" s="17"/>
      <c r="F78" s="48">
        <f t="shared" si="8"/>
        <v>0</v>
      </c>
      <c r="G78" s="17"/>
      <c r="H78" s="17"/>
      <c r="I78" s="17"/>
      <c r="J78" s="17"/>
      <c r="K78" s="17"/>
      <c r="L78" s="17"/>
      <c r="M78" s="27">
        <f t="shared" si="9"/>
        <v>0</v>
      </c>
    </row>
    <row r="79" spans="1:13" s="4" customFormat="1" ht="45" customHeight="1">
      <c r="A79" s="1" t="s">
        <v>171</v>
      </c>
      <c r="B79" s="10" t="s">
        <v>115</v>
      </c>
      <c r="C79" s="17">
        <f>686.9-48.08507</f>
        <v>638.81493</v>
      </c>
      <c r="D79" s="17"/>
      <c r="E79" s="17"/>
      <c r="F79" s="48">
        <f t="shared" si="8"/>
        <v>0</v>
      </c>
      <c r="G79" s="17"/>
      <c r="H79" s="17"/>
      <c r="I79" s="17"/>
      <c r="J79" s="17"/>
      <c r="K79" s="17"/>
      <c r="L79" s="17"/>
      <c r="M79" s="27">
        <f t="shared" si="9"/>
        <v>638.81493</v>
      </c>
    </row>
    <row r="80" spans="1:13" s="4" customFormat="1" ht="63.75" customHeight="1" hidden="1">
      <c r="A80" s="1" t="s">
        <v>171</v>
      </c>
      <c r="B80" s="10" t="s">
        <v>288</v>
      </c>
      <c r="C80" s="17"/>
      <c r="D80" s="17"/>
      <c r="E80" s="17"/>
      <c r="F80" s="48">
        <f t="shared" si="8"/>
        <v>0</v>
      </c>
      <c r="G80" s="17"/>
      <c r="H80" s="17"/>
      <c r="I80" s="17"/>
      <c r="J80" s="17"/>
      <c r="K80" s="17"/>
      <c r="L80" s="17"/>
      <c r="M80" s="27">
        <f t="shared" si="9"/>
        <v>0</v>
      </c>
    </row>
    <row r="81" spans="1:13" s="4" customFormat="1" ht="49.5" customHeight="1" hidden="1">
      <c r="A81" s="1" t="s">
        <v>171</v>
      </c>
      <c r="B81" s="9" t="s">
        <v>299</v>
      </c>
      <c r="C81" s="17"/>
      <c r="D81" s="17"/>
      <c r="E81" s="17"/>
      <c r="F81" s="48">
        <f t="shared" si="8"/>
        <v>0</v>
      </c>
      <c r="G81" s="17"/>
      <c r="H81" s="17"/>
      <c r="I81" s="17"/>
      <c r="J81" s="17"/>
      <c r="K81" s="17"/>
      <c r="L81" s="17"/>
      <c r="M81" s="27">
        <f t="shared" si="9"/>
        <v>0</v>
      </c>
    </row>
    <row r="82" spans="1:13" s="4" customFormat="1" ht="51.75" customHeight="1" hidden="1">
      <c r="A82" s="1" t="s">
        <v>171</v>
      </c>
      <c r="B82" s="9" t="s">
        <v>300</v>
      </c>
      <c r="C82" s="17"/>
      <c r="D82" s="17"/>
      <c r="E82" s="17"/>
      <c r="F82" s="48">
        <f t="shared" si="8"/>
        <v>0</v>
      </c>
      <c r="G82" s="17"/>
      <c r="H82" s="17"/>
      <c r="I82" s="17"/>
      <c r="J82" s="17"/>
      <c r="K82" s="17"/>
      <c r="L82" s="17"/>
      <c r="M82" s="27">
        <f t="shared" si="9"/>
        <v>0</v>
      </c>
    </row>
    <row r="83" spans="1:13" s="4" customFormat="1" ht="51" customHeight="1">
      <c r="A83" s="1" t="s">
        <v>171</v>
      </c>
      <c r="B83" s="11" t="s">
        <v>112</v>
      </c>
      <c r="C83" s="17">
        <v>39.21</v>
      </c>
      <c r="D83" s="17"/>
      <c r="E83" s="17"/>
      <c r="F83" s="48">
        <f t="shared" si="8"/>
        <v>0</v>
      </c>
      <c r="G83" s="17"/>
      <c r="H83" s="17"/>
      <c r="I83" s="17"/>
      <c r="J83" s="17"/>
      <c r="K83" s="17"/>
      <c r="L83" s="17"/>
      <c r="M83" s="27">
        <f t="shared" si="9"/>
        <v>39.21</v>
      </c>
    </row>
    <row r="84" spans="1:13" s="4" customFormat="1" ht="114" customHeight="1">
      <c r="A84" s="1" t="s">
        <v>257</v>
      </c>
      <c r="B84" s="9" t="s">
        <v>258</v>
      </c>
      <c r="C84" s="17">
        <v>144.2</v>
      </c>
      <c r="D84" s="17"/>
      <c r="E84" s="17"/>
      <c r="F84" s="48">
        <f t="shared" si="8"/>
        <v>0</v>
      </c>
      <c r="G84" s="17"/>
      <c r="H84" s="17"/>
      <c r="I84" s="17"/>
      <c r="J84" s="17"/>
      <c r="K84" s="17"/>
      <c r="L84" s="17"/>
      <c r="M84" s="27">
        <f t="shared" si="9"/>
        <v>144.2</v>
      </c>
    </row>
    <row r="85" spans="1:13" s="4" customFormat="1" ht="78.75" customHeight="1" hidden="1">
      <c r="A85" s="1" t="s">
        <v>257</v>
      </c>
      <c r="B85" s="9" t="s">
        <v>74</v>
      </c>
      <c r="C85" s="17"/>
      <c r="D85" s="17"/>
      <c r="E85" s="17"/>
      <c r="F85" s="48">
        <f t="shared" si="8"/>
        <v>0</v>
      </c>
      <c r="G85" s="17"/>
      <c r="H85" s="17"/>
      <c r="I85" s="17"/>
      <c r="J85" s="17"/>
      <c r="K85" s="17"/>
      <c r="L85" s="17"/>
      <c r="M85" s="27">
        <f t="shared" si="9"/>
        <v>0</v>
      </c>
    </row>
    <row r="86" spans="1:13" s="4" customFormat="1" ht="62.25" customHeight="1">
      <c r="A86" s="1" t="s">
        <v>172</v>
      </c>
      <c r="B86" s="10" t="s">
        <v>114</v>
      </c>
      <c r="C86" s="31">
        <f>79.3+3.87</f>
        <v>83.17</v>
      </c>
      <c r="D86" s="17"/>
      <c r="E86" s="17"/>
      <c r="F86" s="48">
        <f t="shared" si="8"/>
        <v>0</v>
      </c>
      <c r="G86" s="17"/>
      <c r="H86" s="17"/>
      <c r="I86" s="17"/>
      <c r="J86" s="17"/>
      <c r="K86" s="17"/>
      <c r="L86" s="17"/>
      <c r="M86" s="27">
        <f t="shared" si="9"/>
        <v>83.17</v>
      </c>
    </row>
    <row r="87" spans="1:13" s="4" customFormat="1" ht="61.5" customHeight="1">
      <c r="A87" s="1" t="s">
        <v>172</v>
      </c>
      <c r="B87" s="10" t="s">
        <v>111</v>
      </c>
      <c r="C87" s="17">
        <v>27.712</v>
      </c>
      <c r="D87" s="17"/>
      <c r="E87" s="17"/>
      <c r="F87" s="48">
        <f t="shared" si="8"/>
        <v>0</v>
      </c>
      <c r="G87" s="17"/>
      <c r="H87" s="17"/>
      <c r="I87" s="17"/>
      <c r="J87" s="17"/>
      <c r="K87" s="17"/>
      <c r="L87" s="17"/>
      <c r="M87" s="27">
        <f t="shared" si="9"/>
        <v>27.712</v>
      </c>
    </row>
    <row r="88" spans="1:13" s="4" customFormat="1" ht="77.25" customHeight="1">
      <c r="A88" s="1" t="s">
        <v>220</v>
      </c>
      <c r="B88" s="10" t="s">
        <v>110</v>
      </c>
      <c r="C88" s="17">
        <v>21.4</v>
      </c>
      <c r="D88" s="17"/>
      <c r="E88" s="17"/>
      <c r="F88" s="48">
        <f t="shared" si="8"/>
        <v>0</v>
      </c>
      <c r="G88" s="17"/>
      <c r="H88" s="17"/>
      <c r="I88" s="17"/>
      <c r="J88" s="17"/>
      <c r="K88" s="17"/>
      <c r="L88" s="17"/>
      <c r="M88" s="27">
        <f t="shared" si="9"/>
        <v>21.4</v>
      </c>
    </row>
    <row r="89" spans="1:13" s="4" customFormat="1" ht="99.75" customHeight="1" hidden="1">
      <c r="A89" s="1" t="s">
        <v>70</v>
      </c>
      <c r="B89" s="10" t="s">
        <v>71</v>
      </c>
      <c r="C89" s="17"/>
      <c r="D89" s="17"/>
      <c r="E89" s="17"/>
      <c r="F89" s="48">
        <f t="shared" si="8"/>
        <v>0</v>
      </c>
      <c r="G89" s="17"/>
      <c r="H89" s="17"/>
      <c r="I89" s="17"/>
      <c r="J89" s="17"/>
      <c r="K89" s="17"/>
      <c r="L89" s="17"/>
      <c r="M89" s="27">
        <f t="shared" si="9"/>
        <v>0</v>
      </c>
    </row>
    <row r="90" spans="1:13" s="4" customFormat="1" ht="120" customHeight="1" hidden="1">
      <c r="A90" s="1" t="s">
        <v>70</v>
      </c>
      <c r="B90" s="10" t="s">
        <v>75</v>
      </c>
      <c r="C90" s="17"/>
      <c r="D90" s="17"/>
      <c r="E90" s="17"/>
      <c r="F90" s="48">
        <f t="shared" si="8"/>
        <v>0</v>
      </c>
      <c r="G90" s="17"/>
      <c r="H90" s="17"/>
      <c r="I90" s="17"/>
      <c r="J90" s="17"/>
      <c r="K90" s="17"/>
      <c r="L90" s="17"/>
      <c r="M90" s="27">
        <f t="shared" si="9"/>
        <v>0</v>
      </c>
    </row>
    <row r="91" spans="1:13" s="140" customFormat="1" ht="47.25" customHeight="1">
      <c r="A91" s="1" t="s">
        <v>196</v>
      </c>
      <c r="B91" s="10" t="s">
        <v>146</v>
      </c>
      <c r="C91" s="17">
        <v>616.3</v>
      </c>
      <c r="D91" s="17">
        <v>432.208</v>
      </c>
      <c r="E91" s="17">
        <v>8.9</v>
      </c>
      <c r="F91" s="48">
        <f t="shared" si="8"/>
        <v>223.49259</v>
      </c>
      <c r="G91" s="17"/>
      <c r="H91" s="17"/>
      <c r="I91" s="17"/>
      <c r="J91" s="17">
        <v>223.49259</v>
      </c>
      <c r="K91" s="17">
        <v>223.49259</v>
      </c>
      <c r="L91" s="17"/>
      <c r="M91" s="27">
        <f t="shared" si="9"/>
        <v>839.79259</v>
      </c>
    </row>
    <row r="92" spans="1:14" s="58" customFormat="1" ht="40.5" customHeight="1" hidden="1">
      <c r="A92" s="1" t="s">
        <v>196</v>
      </c>
      <c r="B92" s="10" t="s">
        <v>113</v>
      </c>
      <c r="C92" s="17"/>
      <c r="D92" s="17"/>
      <c r="E92" s="17"/>
      <c r="F92" s="48">
        <f t="shared" si="8"/>
        <v>0</v>
      </c>
      <c r="G92" s="17"/>
      <c r="H92" s="17"/>
      <c r="I92" s="17"/>
      <c r="J92" s="17"/>
      <c r="K92" s="17"/>
      <c r="L92" s="17"/>
      <c r="M92" s="27">
        <f t="shared" si="9"/>
        <v>0</v>
      </c>
      <c r="N92" s="57"/>
    </row>
    <row r="93" spans="1:14" s="58" customFormat="1" ht="29.25" customHeight="1" hidden="1">
      <c r="A93" s="49" t="s">
        <v>197</v>
      </c>
      <c r="B93" s="50" t="s">
        <v>53</v>
      </c>
      <c r="C93" s="17"/>
      <c r="D93" s="17"/>
      <c r="E93" s="17"/>
      <c r="F93" s="48">
        <f t="shared" si="8"/>
        <v>0</v>
      </c>
      <c r="G93" s="17"/>
      <c r="H93" s="17"/>
      <c r="I93" s="17"/>
      <c r="J93" s="17"/>
      <c r="K93" s="17"/>
      <c r="L93" s="17"/>
      <c r="M93" s="27">
        <f t="shared" si="9"/>
        <v>0</v>
      </c>
      <c r="N93" s="57"/>
    </row>
    <row r="94" spans="1:13" s="5" customFormat="1" ht="38.25" customHeight="1" hidden="1">
      <c r="A94" s="1" t="s">
        <v>76</v>
      </c>
      <c r="B94" s="10" t="s">
        <v>54</v>
      </c>
      <c r="C94" s="17"/>
      <c r="D94" s="17"/>
      <c r="E94" s="17"/>
      <c r="F94" s="48">
        <f t="shared" si="8"/>
        <v>0</v>
      </c>
      <c r="G94" s="17"/>
      <c r="H94" s="17"/>
      <c r="I94" s="17"/>
      <c r="J94" s="17"/>
      <c r="K94" s="17"/>
      <c r="L94" s="17"/>
      <c r="M94" s="27">
        <f t="shared" si="9"/>
        <v>0</v>
      </c>
    </row>
    <row r="95" spans="1:13" s="5" customFormat="1" ht="75.75" customHeight="1">
      <c r="A95" s="1" t="s">
        <v>76</v>
      </c>
      <c r="B95" s="10" t="s">
        <v>109</v>
      </c>
      <c r="C95" s="17">
        <v>5</v>
      </c>
      <c r="D95" s="17"/>
      <c r="E95" s="17"/>
      <c r="F95" s="48">
        <f t="shared" si="8"/>
        <v>0</v>
      </c>
      <c r="G95" s="17"/>
      <c r="H95" s="17"/>
      <c r="I95" s="17"/>
      <c r="J95" s="17"/>
      <c r="K95" s="17"/>
      <c r="L95" s="17"/>
      <c r="M95" s="27">
        <f t="shared" si="9"/>
        <v>5</v>
      </c>
    </row>
    <row r="96" spans="1:13" s="5" customFormat="1" ht="75.75" customHeight="1">
      <c r="A96" s="1" t="s">
        <v>76</v>
      </c>
      <c r="B96" s="10" t="s">
        <v>116</v>
      </c>
      <c r="C96" s="17">
        <f>22+1.998-22</f>
        <v>1.998000000000001</v>
      </c>
      <c r="D96" s="17"/>
      <c r="E96" s="17"/>
      <c r="F96" s="48">
        <f t="shared" si="8"/>
        <v>0</v>
      </c>
      <c r="G96" s="17"/>
      <c r="H96" s="17"/>
      <c r="I96" s="17"/>
      <c r="J96" s="17"/>
      <c r="K96" s="17"/>
      <c r="L96" s="17"/>
      <c r="M96" s="27">
        <f t="shared" si="9"/>
        <v>1.998000000000001</v>
      </c>
    </row>
    <row r="97" spans="1:13" s="5" customFormat="1" ht="66.75" customHeight="1" hidden="1">
      <c r="A97" s="1" t="s">
        <v>171</v>
      </c>
      <c r="B97" s="10" t="s">
        <v>295</v>
      </c>
      <c r="C97" s="17"/>
      <c r="D97" s="17"/>
      <c r="E97" s="17"/>
      <c r="F97" s="48">
        <f t="shared" si="8"/>
        <v>0</v>
      </c>
      <c r="G97" s="17"/>
      <c r="H97" s="17"/>
      <c r="I97" s="17"/>
      <c r="J97" s="17"/>
      <c r="K97" s="17"/>
      <c r="L97" s="17"/>
      <c r="M97" s="27">
        <f t="shared" si="9"/>
        <v>0</v>
      </c>
    </row>
    <row r="98" spans="1:13" s="5" customFormat="1" ht="75.75" customHeight="1">
      <c r="A98" s="1" t="s">
        <v>76</v>
      </c>
      <c r="B98" s="10" t="s">
        <v>117</v>
      </c>
      <c r="C98" s="17">
        <f>26+18.3039</f>
        <v>44.3039</v>
      </c>
      <c r="D98" s="17"/>
      <c r="E98" s="17"/>
      <c r="F98" s="48">
        <f t="shared" si="8"/>
        <v>0</v>
      </c>
      <c r="G98" s="17"/>
      <c r="H98" s="17"/>
      <c r="I98" s="17"/>
      <c r="J98" s="17"/>
      <c r="K98" s="17"/>
      <c r="L98" s="17"/>
      <c r="M98" s="27">
        <f t="shared" si="9"/>
        <v>44.3039</v>
      </c>
    </row>
    <row r="99" spans="1:13" s="5" customFormat="1" ht="75.75" customHeight="1" hidden="1">
      <c r="A99" s="1" t="s">
        <v>171</v>
      </c>
      <c r="B99" s="10" t="s">
        <v>116</v>
      </c>
      <c r="C99" s="17"/>
      <c r="D99" s="17"/>
      <c r="E99" s="17"/>
      <c r="F99" s="48">
        <f t="shared" si="8"/>
        <v>0</v>
      </c>
      <c r="G99" s="17"/>
      <c r="H99" s="17"/>
      <c r="I99" s="17"/>
      <c r="J99" s="17"/>
      <c r="K99" s="17"/>
      <c r="L99" s="17"/>
      <c r="M99" s="27">
        <f t="shared" si="9"/>
        <v>0</v>
      </c>
    </row>
    <row r="100" spans="1:13" s="5" customFormat="1" ht="106.5" customHeight="1" hidden="1">
      <c r="A100" s="1" t="s">
        <v>76</v>
      </c>
      <c r="B100" s="13" t="s">
        <v>108</v>
      </c>
      <c r="C100" s="17"/>
      <c r="D100" s="17"/>
      <c r="E100" s="17"/>
      <c r="F100" s="48">
        <f t="shared" si="8"/>
        <v>0</v>
      </c>
      <c r="G100" s="17"/>
      <c r="H100" s="17"/>
      <c r="I100" s="17"/>
      <c r="J100" s="17"/>
      <c r="K100" s="17"/>
      <c r="L100" s="17"/>
      <c r="M100" s="27">
        <f t="shared" si="9"/>
        <v>0</v>
      </c>
    </row>
    <row r="101" spans="1:13" s="5" customFormat="1" ht="79.5" customHeight="1" hidden="1">
      <c r="A101" s="1" t="s">
        <v>76</v>
      </c>
      <c r="B101" s="13" t="s">
        <v>297</v>
      </c>
      <c r="C101" s="17"/>
      <c r="D101" s="17"/>
      <c r="E101" s="17"/>
      <c r="F101" s="48">
        <f t="shared" si="8"/>
        <v>0</v>
      </c>
      <c r="G101" s="17"/>
      <c r="H101" s="17"/>
      <c r="I101" s="17"/>
      <c r="J101" s="17"/>
      <c r="K101" s="17"/>
      <c r="L101" s="17"/>
      <c r="M101" s="27">
        <f t="shared" si="9"/>
        <v>0</v>
      </c>
    </row>
    <row r="102" spans="1:13" s="5" customFormat="1" ht="101.25" customHeight="1">
      <c r="A102" s="1" t="s">
        <v>173</v>
      </c>
      <c r="B102" s="10" t="s">
        <v>55</v>
      </c>
      <c r="C102" s="17">
        <f>1692.4+28.46415</f>
        <v>1720.86415</v>
      </c>
      <c r="D102" s="17">
        <v>1061.996</v>
      </c>
      <c r="E102" s="17">
        <v>40.8</v>
      </c>
      <c r="F102" s="48">
        <f t="shared" si="8"/>
        <v>49.44018</v>
      </c>
      <c r="G102" s="17">
        <v>32.3</v>
      </c>
      <c r="H102" s="17"/>
      <c r="I102" s="17"/>
      <c r="J102" s="17">
        <f>13+4.14018</f>
        <v>17.14018</v>
      </c>
      <c r="K102" s="17">
        <v>4.14018</v>
      </c>
      <c r="L102" s="17"/>
      <c r="M102" s="27">
        <f t="shared" si="9"/>
        <v>1770.3043300000002</v>
      </c>
    </row>
    <row r="103" spans="1:13" s="90" customFormat="1" ht="113.25" customHeight="1" hidden="1">
      <c r="A103" s="82" t="s">
        <v>173</v>
      </c>
      <c r="B103" s="89" t="s">
        <v>82</v>
      </c>
      <c r="C103" s="28"/>
      <c r="D103" s="28"/>
      <c r="E103" s="28"/>
      <c r="F103" s="18"/>
      <c r="G103" s="28"/>
      <c r="H103" s="28"/>
      <c r="I103" s="28"/>
      <c r="J103" s="28"/>
      <c r="K103" s="28"/>
      <c r="L103" s="28"/>
      <c r="M103" s="22">
        <f t="shared" si="9"/>
        <v>0</v>
      </c>
    </row>
    <row r="104" spans="1:13" s="4" customFormat="1" ht="126.75" customHeight="1">
      <c r="A104" s="1" t="s">
        <v>72</v>
      </c>
      <c r="B104" s="9" t="s">
        <v>135</v>
      </c>
      <c r="C104" s="17">
        <v>95</v>
      </c>
      <c r="D104" s="17"/>
      <c r="E104" s="17"/>
      <c r="F104" s="48">
        <f t="shared" si="8"/>
        <v>0</v>
      </c>
      <c r="G104" s="17"/>
      <c r="H104" s="17"/>
      <c r="I104" s="17"/>
      <c r="J104" s="17"/>
      <c r="K104" s="17"/>
      <c r="L104" s="17"/>
      <c r="M104" s="27">
        <f t="shared" si="9"/>
        <v>95</v>
      </c>
    </row>
    <row r="105" spans="1:13" s="4" customFormat="1" ht="69.75" customHeight="1">
      <c r="A105" s="1" t="s">
        <v>174</v>
      </c>
      <c r="B105" s="9" t="s">
        <v>136</v>
      </c>
      <c r="C105" s="17">
        <v>26</v>
      </c>
      <c r="D105" s="17"/>
      <c r="E105" s="17"/>
      <c r="F105" s="48">
        <f t="shared" si="8"/>
        <v>0</v>
      </c>
      <c r="G105" s="17"/>
      <c r="H105" s="17"/>
      <c r="I105" s="17"/>
      <c r="J105" s="17"/>
      <c r="K105" s="17"/>
      <c r="L105" s="17"/>
      <c r="M105" s="27">
        <f t="shared" si="9"/>
        <v>26</v>
      </c>
    </row>
    <row r="106" spans="1:13" s="4" customFormat="1" ht="102" customHeight="1">
      <c r="A106" s="1" t="s">
        <v>175</v>
      </c>
      <c r="B106" s="9" t="s">
        <v>137</v>
      </c>
      <c r="C106" s="17">
        <v>100</v>
      </c>
      <c r="D106" s="17"/>
      <c r="E106" s="17"/>
      <c r="F106" s="48">
        <f t="shared" si="8"/>
        <v>0</v>
      </c>
      <c r="G106" s="17"/>
      <c r="H106" s="17"/>
      <c r="I106" s="17"/>
      <c r="J106" s="17"/>
      <c r="K106" s="17"/>
      <c r="L106" s="17"/>
      <c r="M106" s="27">
        <f t="shared" si="9"/>
        <v>100</v>
      </c>
    </row>
    <row r="107" spans="1:13" s="4" customFormat="1" ht="63.75" customHeight="1">
      <c r="A107" s="1" t="s">
        <v>176</v>
      </c>
      <c r="B107" s="10" t="s">
        <v>147</v>
      </c>
      <c r="C107" s="17">
        <v>3598.1</v>
      </c>
      <c r="D107" s="17"/>
      <c r="E107" s="17"/>
      <c r="F107" s="48">
        <f t="shared" si="8"/>
        <v>0</v>
      </c>
      <c r="G107" s="17"/>
      <c r="H107" s="17"/>
      <c r="I107" s="17"/>
      <c r="J107" s="17"/>
      <c r="K107" s="17"/>
      <c r="L107" s="17"/>
      <c r="M107" s="27">
        <f t="shared" si="9"/>
        <v>3598.1</v>
      </c>
    </row>
    <row r="108" spans="1:13" s="4" customFormat="1" ht="83.25" customHeight="1">
      <c r="A108" s="1" t="s">
        <v>235</v>
      </c>
      <c r="B108" s="10" t="s">
        <v>264</v>
      </c>
      <c r="C108" s="17">
        <v>8</v>
      </c>
      <c r="D108" s="17"/>
      <c r="E108" s="17"/>
      <c r="F108" s="48">
        <f t="shared" si="8"/>
        <v>0</v>
      </c>
      <c r="G108" s="17"/>
      <c r="H108" s="17"/>
      <c r="I108" s="17"/>
      <c r="J108" s="17"/>
      <c r="K108" s="17"/>
      <c r="L108" s="17"/>
      <c r="M108" s="27">
        <f t="shared" si="9"/>
        <v>8</v>
      </c>
    </row>
    <row r="109" spans="1:13" s="4" customFormat="1" ht="45" customHeight="1">
      <c r="A109" s="1" t="s">
        <v>236</v>
      </c>
      <c r="B109" s="10" t="s">
        <v>265</v>
      </c>
      <c r="C109" s="17">
        <v>0.2</v>
      </c>
      <c r="D109" s="17"/>
      <c r="E109" s="17"/>
      <c r="F109" s="48">
        <f t="shared" si="8"/>
        <v>0</v>
      </c>
      <c r="G109" s="17"/>
      <c r="H109" s="17"/>
      <c r="I109" s="17"/>
      <c r="J109" s="17"/>
      <c r="K109" s="17"/>
      <c r="L109" s="17"/>
      <c r="M109" s="27">
        <f t="shared" si="9"/>
        <v>0.2</v>
      </c>
    </row>
    <row r="110" spans="1:41" s="106" customFormat="1" ht="35.25" customHeight="1">
      <c r="A110" s="104"/>
      <c r="B110" s="107" t="s">
        <v>156</v>
      </c>
      <c r="C110" s="26">
        <f>SUM(C46:C109)</f>
        <v>42627.872979999986</v>
      </c>
      <c r="D110" s="26">
        <f>SUM(D46:D109)</f>
        <v>1494.2040000000002</v>
      </c>
      <c r="E110" s="26">
        <f>SUM(E46:E109)</f>
        <v>49.699999999999996</v>
      </c>
      <c r="F110" s="23">
        <f aca="true" t="shared" si="10" ref="F110:F172">G110+J110</f>
        <v>272.93277</v>
      </c>
      <c r="G110" s="26">
        <f aca="true" t="shared" si="11" ref="G110:L110">SUM(G46:G109)</f>
        <v>32.3</v>
      </c>
      <c r="H110" s="26">
        <f t="shared" si="11"/>
        <v>0</v>
      </c>
      <c r="I110" s="26">
        <f t="shared" si="11"/>
        <v>0</v>
      </c>
      <c r="J110" s="26">
        <f>SUM(J46:J109)</f>
        <v>240.63277</v>
      </c>
      <c r="K110" s="26">
        <f t="shared" si="11"/>
        <v>227.63277</v>
      </c>
      <c r="L110" s="26">
        <f t="shared" si="11"/>
        <v>0</v>
      </c>
      <c r="M110" s="26">
        <f aca="true" t="shared" si="12" ref="M110:M172">C110+F110</f>
        <v>42900.805749999985</v>
      </c>
      <c r="N110" s="108">
        <f>C110+122.36081</f>
        <v>42750.233789999984</v>
      </c>
      <c r="O110" s="105"/>
      <c r="P110" s="105"/>
      <c r="Q110" s="105"/>
      <c r="R110" s="105"/>
      <c r="S110" s="105"/>
      <c r="T110" s="105"/>
      <c r="U110" s="105"/>
      <c r="V110" s="105"/>
      <c r="W110" s="105"/>
      <c r="X110" s="105"/>
      <c r="Y110" s="105"/>
      <c r="Z110" s="105"/>
      <c r="AA110" s="105"/>
      <c r="AB110" s="105"/>
      <c r="AC110" s="105"/>
      <c r="AD110" s="105"/>
      <c r="AE110" s="105"/>
      <c r="AF110" s="105"/>
      <c r="AG110" s="105"/>
      <c r="AH110" s="105"/>
      <c r="AI110" s="105"/>
      <c r="AJ110" s="105"/>
      <c r="AK110" s="105"/>
      <c r="AL110" s="105"/>
      <c r="AM110" s="105"/>
      <c r="AN110" s="105"/>
      <c r="AO110" s="105"/>
    </row>
    <row r="111" spans="1:13" s="81" customFormat="1" ht="31.5" customHeight="1">
      <c r="A111" s="94" t="s">
        <v>177</v>
      </c>
      <c r="B111" s="95" t="s">
        <v>178</v>
      </c>
      <c r="C111" s="96"/>
      <c r="D111" s="96"/>
      <c r="E111" s="96"/>
      <c r="F111" s="97"/>
      <c r="G111" s="96"/>
      <c r="H111" s="96"/>
      <c r="I111" s="96"/>
      <c r="J111" s="96"/>
      <c r="K111" s="96"/>
      <c r="L111" s="96"/>
      <c r="M111" s="98"/>
    </row>
    <row r="112" spans="1:22" s="4" customFormat="1" ht="25.5" customHeight="1">
      <c r="A112" s="1"/>
      <c r="B112" s="155" t="s">
        <v>282</v>
      </c>
      <c r="C112" s="17">
        <v>0</v>
      </c>
      <c r="D112" s="17">
        <v>0</v>
      </c>
      <c r="E112" s="17">
        <v>0</v>
      </c>
      <c r="F112" s="153">
        <f>G112+J112</f>
        <v>16000</v>
      </c>
      <c r="G112" s="17">
        <f>G128</f>
        <v>16000</v>
      </c>
      <c r="H112" s="17">
        <v>0</v>
      </c>
      <c r="I112" s="17">
        <v>0</v>
      </c>
      <c r="J112" s="17">
        <v>0</v>
      </c>
      <c r="K112" s="17">
        <v>0</v>
      </c>
      <c r="L112" s="17">
        <v>0</v>
      </c>
      <c r="M112" s="154">
        <f t="shared" si="12"/>
        <v>16000</v>
      </c>
      <c r="U112" s="4">
        <v>410352</v>
      </c>
      <c r="V112" s="4" t="s">
        <v>10</v>
      </c>
    </row>
    <row r="113" spans="1:14" s="52" customFormat="1" ht="30.75" customHeight="1">
      <c r="A113" s="29" t="s">
        <v>275</v>
      </c>
      <c r="B113" s="13" t="s">
        <v>120</v>
      </c>
      <c r="C113" s="17">
        <f>292.1+69.58588</f>
        <v>361.68588</v>
      </c>
      <c r="D113" s="24"/>
      <c r="E113" s="24"/>
      <c r="F113" s="48">
        <f t="shared" si="10"/>
        <v>0</v>
      </c>
      <c r="G113" s="17"/>
      <c r="H113" s="17"/>
      <c r="I113" s="17"/>
      <c r="J113" s="17"/>
      <c r="K113" s="17"/>
      <c r="L113" s="17"/>
      <c r="M113" s="27">
        <f t="shared" si="12"/>
        <v>361.68588</v>
      </c>
      <c r="N113" s="51"/>
    </row>
    <row r="114" spans="1:13" s="4" customFormat="1" ht="82.5" customHeight="1">
      <c r="A114" s="29" t="s">
        <v>179</v>
      </c>
      <c r="B114" s="15" t="s">
        <v>289</v>
      </c>
      <c r="C114" s="17"/>
      <c r="D114" s="17"/>
      <c r="E114" s="17"/>
      <c r="F114" s="48">
        <f>G114+J114</f>
        <v>1627.83604</v>
      </c>
      <c r="G114" s="17"/>
      <c r="H114" s="17"/>
      <c r="I114" s="17"/>
      <c r="J114" s="17">
        <f>1540+87.83604</f>
        <v>1627.83604</v>
      </c>
      <c r="K114" s="17">
        <f>1540+87.83604</f>
        <v>1627.83604</v>
      </c>
      <c r="L114" s="17"/>
      <c r="M114" s="27">
        <f t="shared" si="12"/>
        <v>1627.83604</v>
      </c>
    </row>
    <row r="115" spans="1:13" s="84" customFormat="1" ht="36.75" customHeight="1" hidden="1">
      <c r="A115" s="91" t="s">
        <v>179</v>
      </c>
      <c r="B115" s="92" t="s">
        <v>41</v>
      </c>
      <c r="C115" s="28"/>
      <c r="D115" s="28"/>
      <c r="E115" s="28"/>
      <c r="F115" s="18"/>
      <c r="G115" s="28"/>
      <c r="H115" s="28"/>
      <c r="I115" s="28"/>
      <c r="J115" s="28"/>
      <c r="K115" s="28"/>
      <c r="L115" s="28"/>
      <c r="M115" s="22">
        <f t="shared" si="12"/>
        <v>0</v>
      </c>
    </row>
    <row r="116" spans="1:13" s="4" customFormat="1" ht="96.75" customHeight="1">
      <c r="A116" s="29" t="s">
        <v>179</v>
      </c>
      <c r="B116" s="15" t="s">
        <v>290</v>
      </c>
      <c r="C116" s="17"/>
      <c r="D116" s="17"/>
      <c r="E116" s="17"/>
      <c r="F116" s="48">
        <f t="shared" si="10"/>
        <v>30</v>
      </c>
      <c r="G116" s="17"/>
      <c r="H116" s="17"/>
      <c r="I116" s="17"/>
      <c r="J116" s="17">
        <v>30</v>
      </c>
      <c r="K116" s="17">
        <v>30</v>
      </c>
      <c r="L116" s="17"/>
      <c r="M116" s="27">
        <f t="shared" si="12"/>
        <v>30</v>
      </c>
    </row>
    <row r="117" spans="1:13" s="4" customFormat="1" ht="48.75" customHeight="1" hidden="1">
      <c r="A117" s="29" t="s">
        <v>179</v>
      </c>
      <c r="B117" s="15" t="s">
        <v>40</v>
      </c>
      <c r="C117" s="17"/>
      <c r="D117" s="17"/>
      <c r="E117" s="17"/>
      <c r="F117" s="48">
        <f t="shared" si="10"/>
        <v>0</v>
      </c>
      <c r="G117" s="17"/>
      <c r="H117" s="17"/>
      <c r="I117" s="17"/>
      <c r="J117" s="17"/>
      <c r="K117" s="17"/>
      <c r="L117" s="17"/>
      <c r="M117" s="27">
        <f t="shared" si="12"/>
        <v>0</v>
      </c>
    </row>
    <row r="118" spans="1:13" s="4" customFormat="1" ht="79.5" customHeight="1">
      <c r="A118" s="29" t="s">
        <v>213</v>
      </c>
      <c r="B118" s="15" t="s">
        <v>312</v>
      </c>
      <c r="C118" s="17">
        <v>50</v>
      </c>
      <c r="D118" s="17"/>
      <c r="E118" s="17"/>
      <c r="F118" s="48">
        <f t="shared" si="10"/>
        <v>0</v>
      </c>
      <c r="G118" s="17"/>
      <c r="H118" s="17"/>
      <c r="I118" s="17"/>
      <c r="J118" s="17"/>
      <c r="K118" s="17"/>
      <c r="L118" s="17"/>
      <c r="M118" s="27">
        <f t="shared" si="12"/>
        <v>50</v>
      </c>
    </row>
    <row r="119" spans="1:13" s="4" customFormat="1" ht="79.5" customHeight="1">
      <c r="A119" s="29" t="s">
        <v>63</v>
      </c>
      <c r="B119" s="15" t="s">
        <v>313</v>
      </c>
      <c r="C119" s="17"/>
      <c r="D119" s="17"/>
      <c r="E119" s="17"/>
      <c r="F119" s="48">
        <f>G119+J119</f>
        <v>185.88502</v>
      </c>
      <c r="G119" s="17"/>
      <c r="H119" s="17"/>
      <c r="I119" s="17"/>
      <c r="J119" s="17">
        <f>98+0.88502+87</f>
        <v>185.88502</v>
      </c>
      <c r="K119" s="17">
        <f>98+0.88502+87</f>
        <v>185.88502</v>
      </c>
      <c r="L119" s="17"/>
      <c r="M119" s="27">
        <f>C119+F119</f>
        <v>185.88502</v>
      </c>
    </row>
    <row r="120" spans="1:13" s="4" customFormat="1" ht="81" customHeight="1">
      <c r="A120" s="29" t="s">
        <v>63</v>
      </c>
      <c r="B120" s="15" t="s">
        <v>314</v>
      </c>
      <c r="C120" s="17">
        <f>91.27501+64</f>
        <v>155.27501</v>
      </c>
      <c r="D120" s="17"/>
      <c r="E120" s="17"/>
      <c r="F120" s="48">
        <f t="shared" si="10"/>
        <v>135.62092</v>
      </c>
      <c r="G120" s="17"/>
      <c r="H120" s="17"/>
      <c r="I120" s="17"/>
      <c r="J120" s="17">
        <f>26+109.62092</f>
        <v>135.62092</v>
      </c>
      <c r="K120" s="17">
        <f>26+109.62092</f>
        <v>135.62092</v>
      </c>
      <c r="L120" s="17"/>
      <c r="M120" s="27">
        <f t="shared" si="12"/>
        <v>290.89593</v>
      </c>
    </row>
    <row r="121" spans="1:13" s="84" customFormat="1" ht="41.25" customHeight="1" hidden="1">
      <c r="A121" s="91" t="s">
        <v>63</v>
      </c>
      <c r="B121" s="92" t="s">
        <v>42</v>
      </c>
      <c r="C121" s="28"/>
      <c r="D121" s="28"/>
      <c r="E121" s="28"/>
      <c r="F121" s="18"/>
      <c r="G121" s="28"/>
      <c r="H121" s="28"/>
      <c r="I121" s="28"/>
      <c r="J121" s="28"/>
      <c r="K121" s="28"/>
      <c r="L121" s="28"/>
      <c r="M121" s="22">
        <f t="shared" si="12"/>
        <v>0</v>
      </c>
    </row>
    <row r="122" spans="1:13" s="4" customFormat="1" ht="80.25" customHeight="1">
      <c r="A122" s="29" t="s">
        <v>227</v>
      </c>
      <c r="B122" s="30" t="s">
        <v>85</v>
      </c>
      <c r="C122" s="17">
        <v>10</v>
      </c>
      <c r="D122" s="17"/>
      <c r="E122" s="17"/>
      <c r="F122" s="48">
        <f t="shared" si="10"/>
        <v>896.6602</v>
      </c>
      <c r="G122" s="17"/>
      <c r="H122" s="17"/>
      <c r="I122" s="17"/>
      <c r="J122" s="17">
        <f>871.6+25.0602</f>
        <v>896.6602</v>
      </c>
      <c r="K122" s="17">
        <f>871.6+25.0602</f>
        <v>896.6602</v>
      </c>
      <c r="L122" s="17"/>
      <c r="M122" s="27">
        <f t="shared" si="12"/>
        <v>906.6602</v>
      </c>
    </row>
    <row r="123" spans="1:13" s="4" customFormat="1" ht="96" customHeight="1">
      <c r="A123" s="29" t="s">
        <v>227</v>
      </c>
      <c r="B123" s="30" t="s">
        <v>86</v>
      </c>
      <c r="C123" s="17"/>
      <c r="D123" s="17"/>
      <c r="E123" s="17"/>
      <c r="F123" s="48">
        <f t="shared" si="10"/>
        <v>200</v>
      </c>
      <c r="G123" s="17"/>
      <c r="H123" s="17"/>
      <c r="I123" s="17"/>
      <c r="J123" s="17">
        <v>200</v>
      </c>
      <c r="K123" s="17">
        <v>200</v>
      </c>
      <c r="L123" s="17"/>
      <c r="M123" s="27">
        <f t="shared" si="12"/>
        <v>200</v>
      </c>
    </row>
    <row r="124" spans="1:13" s="4" customFormat="1" ht="81.75" customHeight="1">
      <c r="A124" s="29" t="s">
        <v>180</v>
      </c>
      <c r="B124" s="30" t="s">
        <v>88</v>
      </c>
      <c r="C124" s="17">
        <v>10</v>
      </c>
      <c r="D124" s="17">
        <v>7.424</v>
      </c>
      <c r="E124" s="17"/>
      <c r="F124" s="48">
        <f t="shared" si="10"/>
        <v>0</v>
      </c>
      <c r="G124" s="17"/>
      <c r="H124" s="17"/>
      <c r="I124" s="17"/>
      <c r="J124" s="17"/>
      <c r="K124" s="17"/>
      <c r="L124" s="17"/>
      <c r="M124" s="27">
        <f t="shared" si="12"/>
        <v>10</v>
      </c>
    </row>
    <row r="125" spans="1:13" s="4" customFormat="1" ht="82.5" customHeight="1">
      <c r="A125" s="29" t="s">
        <v>180</v>
      </c>
      <c r="B125" s="30" t="s">
        <v>87</v>
      </c>
      <c r="C125" s="17">
        <f>3647+102.5009+267.76914</f>
        <v>4017.27004</v>
      </c>
      <c r="D125" s="17"/>
      <c r="E125" s="17">
        <v>125</v>
      </c>
      <c r="F125" s="48">
        <f t="shared" si="10"/>
        <v>192.91585</v>
      </c>
      <c r="G125" s="17"/>
      <c r="H125" s="17"/>
      <c r="I125" s="17"/>
      <c r="J125" s="17">
        <f>169+22.85585+1.06</f>
        <v>192.91585</v>
      </c>
      <c r="K125" s="17">
        <f>169+22.85585+1.06</f>
        <v>192.91585</v>
      </c>
      <c r="L125" s="17"/>
      <c r="M125" s="27">
        <f t="shared" si="12"/>
        <v>4210.18589</v>
      </c>
    </row>
    <row r="126" spans="1:13" s="4" customFormat="1" ht="97.5" customHeight="1">
      <c r="A126" s="29" t="s">
        <v>180</v>
      </c>
      <c r="B126" s="30" t="s">
        <v>89</v>
      </c>
      <c r="C126" s="17"/>
      <c r="D126" s="17"/>
      <c r="E126" s="17"/>
      <c r="F126" s="48">
        <f t="shared" si="10"/>
        <v>16</v>
      </c>
      <c r="G126" s="17"/>
      <c r="H126" s="17"/>
      <c r="I126" s="17"/>
      <c r="J126" s="17">
        <v>16</v>
      </c>
      <c r="K126" s="17">
        <v>16</v>
      </c>
      <c r="L126" s="17"/>
      <c r="M126" s="27">
        <f>C126+F126</f>
        <v>16</v>
      </c>
    </row>
    <row r="127" spans="1:13" s="4" customFormat="1" ht="174.75" customHeight="1" hidden="1">
      <c r="A127" s="29" t="s">
        <v>43</v>
      </c>
      <c r="B127" s="14" t="s">
        <v>44</v>
      </c>
      <c r="C127" s="17"/>
      <c r="D127" s="17"/>
      <c r="E127" s="17"/>
      <c r="F127" s="48">
        <f t="shared" si="10"/>
        <v>0</v>
      </c>
      <c r="G127" s="17"/>
      <c r="H127" s="17"/>
      <c r="I127" s="17"/>
      <c r="J127" s="17"/>
      <c r="K127" s="17"/>
      <c r="L127" s="17"/>
      <c r="M127" s="27">
        <f t="shared" si="12"/>
        <v>0</v>
      </c>
    </row>
    <row r="128" spans="1:13" s="4" customFormat="1" ht="189.75" customHeight="1">
      <c r="A128" s="29" t="s">
        <v>45</v>
      </c>
      <c r="B128" s="30" t="s">
        <v>46</v>
      </c>
      <c r="C128" s="17"/>
      <c r="D128" s="17"/>
      <c r="E128" s="17"/>
      <c r="F128" s="48">
        <f t="shared" si="10"/>
        <v>16000</v>
      </c>
      <c r="G128" s="31">
        <v>16000</v>
      </c>
      <c r="H128" s="17"/>
      <c r="I128" s="17"/>
      <c r="J128" s="17"/>
      <c r="K128" s="17"/>
      <c r="L128" s="17"/>
      <c r="M128" s="27">
        <f t="shared" si="12"/>
        <v>16000</v>
      </c>
    </row>
    <row r="129" spans="1:41" s="101" customFormat="1" ht="35.25" customHeight="1">
      <c r="A129" s="20"/>
      <c r="B129" s="107" t="s">
        <v>156</v>
      </c>
      <c r="C129" s="26">
        <f>SUM(C113:C128)</f>
        <v>4604.23093</v>
      </c>
      <c r="D129" s="26">
        <f>SUM(D113:D128)</f>
        <v>7.424</v>
      </c>
      <c r="E129" s="26">
        <f>SUM(E113:E128)</f>
        <v>125</v>
      </c>
      <c r="F129" s="23">
        <f>G129+J129</f>
        <v>19284.91803</v>
      </c>
      <c r="G129" s="26">
        <f>SUM(G114:G128)</f>
        <v>16000</v>
      </c>
      <c r="H129" s="26">
        <f>SUM(H114:H128)</f>
        <v>0</v>
      </c>
      <c r="I129" s="26">
        <f>SUM(I114:I128)</f>
        <v>0</v>
      </c>
      <c r="J129" s="26">
        <f>SUM(J114:J128)</f>
        <v>3284.91803</v>
      </c>
      <c r="K129" s="26">
        <f>SUM(K114:K128)</f>
        <v>3284.91803</v>
      </c>
      <c r="L129" s="26">
        <f>SUM(L114:L127)</f>
        <v>0</v>
      </c>
      <c r="M129" s="26">
        <f>C129+F129</f>
        <v>23889.14896</v>
      </c>
      <c r="N129" s="100"/>
      <c r="O129" s="100"/>
      <c r="P129" s="100"/>
      <c r="Q129" s="100"/>
      <c r="R129" s="100"/>
      <c r="S129" s="100"/>
      <c r="T129" s="100"/>
      <c r="U129" s="100"/>
      <c r="V129" s="100"/>
      <c r="W129" s="100"/>
      <c r="X129" s="100"/>
      <c r="Y129" s="100"/>
      <c r="Z129" s="100"/>
      <c r="AA129" s="100"/>
      <c r="AB129" s="100"/>
      <c r="AC129" s="100"/>
      <c r="AD129" s="100"/>
      <c r="AE129" s="100"/>
      <c r="AF129" s="100"/>
      <c r="AG129" s="100"/>
      <c r="AH129" s="100"/>
      <c r="AI129" s="100"/>
      <c r="AJ129" s="100"/>
      <c r="AK129" s="100"/>
      <c r="AL129" s="100"/>
      <c r="AM129" s="100"/>
      <c r="AN129" s="100"/>
      <c r="AO129" s="100"/>
    </row>
    <row r="130" spans="1:13" s="81" customFormat="1" ht="39.75" customHeight="1">
      <c r="A130" s="94" t="s">
        <v>181</v>
      </c>
      <c r="B130" s="95" t="s">
        <v>148</v>
      </c>
      <c r="C130" s="96"/>
      <c r="D130" s="96"/>
      <c r="E130" s="96"/>
      <c r="F130" s="97"/>
      <c r="G130" s="96"/>
      <c r="H130" s="96"/>
      <c r="I130" s="96"/>
      <c r="J130" s="96"/>
      <c r="K130" s="96"/>
      <c r="L130" s="96"/>
      <c r="M130" s="98"/>
    </row>
    <row r="131" spans="1:22" s="52" customFormat="1" ht="28.5" customHeight="1" hidden="1">
      <c r="A131" s="49"/>
      <c r="B131" s="59" t="s">
        <v>255</v>
      </c>
      <c r="C131" s="35"/>
      <c r="D131" s="35"/>
      <c r="E131" s="35"/>
      <c r="F131" s="48">
        <f t="shared" si="10"/>
        <v>0</v>
      </c>
      <c r="G131" s="17"/>
      <c r="H131" s="17"/>
      <c r="I131" s="17"/>
      <c r="J131" s="17"/>
      <c r="K131" s="17"/>
      <c r="L131" s="17"/>
      <c r="M131" s="27">
        <f t="shared" si="12"/>
        <v>0</v>
      </c>
      <c r="N131" s="54"/>
      <c r="O131" s="55"/>
      <c r="P131" s="55"/>
      <c r="Q131" s="55"/>
      <c r="R131" s="55"/>
      <c r="S131" s="55"/>
      <c r="T131" s="55"/>
      <c r="U131" s="55"/>
      <c r="V131" s="55"/>
    </row>
    <row r="132" spans="1:13" s="4" customFormat="1" ht="30" customHeight="1">
      <c r="A132" s="1" t="s">
        <v>181</v>
      </c>
      <c r="B132" s="15" t="s">
        <v>149</v>
      </c>
      <c r="C132" s="17">
        <f>C133+C134+C135+C136</f>
        <v>3174.60302</v>
      </c>
      <c r="D132" s="17">
        <f>D133+D134+D135+D136</f>
        <v>2182.846</v>
      </c>
      <c r="E132" s="17">
        <f>E133+E134+E135+E136</f>
        <v>73.3</v>
      </c>
      <c r="F132" s="48">
        <f t="shared" si="10"/>
        <v>321.57361000000003</v>
      </c>
      <c r="G132" s="17">
        <f aca="true" t="shared" si="13" ref="G132:L132">G133+G134+G135+G136</f>
        <v>137.59</v>
      </c>
      <c r="H132" s="17">
        <f t="shared" si="13"/>
        <v>80.46</v>
      </c>
      <c r="I132" s="17">
        <f t="shared" si="13"/>
        <v>0</v>
      </c>
      <c r="J132" s="17">
        <f t="shared" si="13"/>
        <v>183.98361</v>
      </c>
      <c r="K132" s="17">
        <f t="shared" si="13"/>
        <v>163.98361</v>
      </c>
      <c r="L132" s="17">
        <f t="shared" si="13"/>
        <v>0</v>
      </c>
      <c r="M132" s="27">
        <f t="shared" si="12"/>
        <v>3496.17663</v>
      </c>
    </row>
    <row r="133" spans="1:13" s="4" customFormat="1" ht="31.5" customHeight="1">
      <c r="A133" s="1" t="s">
        <v>247</v>
      </c>
      <c r="B133" s="10" t="s">
        <v>248</v>
      </c>
      <c r="C133" s="17">
        <f>428.641+11.4554</f>
        <v>440.0964</v>
      </c>
      <c r="D133" s="17">
        <v>292.721</v>
      </c>
      <c r="E133" s="17">
        <v>11.46</v>
      </c>
      <c r="F133" s="48">
        <f t="shared" si="10"/>
        <v>30</v>
      </c>
      <c r="G133" s="17"/>
      <c r="H133" s="17"/>
      <c r="I133" s="17"/>
      <c r="J133" s="17">
        <v>30</v>
      </c>
      <c r="K133" s="17">
        <v>30</v>
      </c>
      <c r="L133" s="17"/>
      <c r="M133" s="27">
        <f t="shared" si="12"/>
        <v>470.0964</v>
      </c>
    </row>
    <row r="134" spans="1:13" s="4" customFormat="1" ht="30" customHeight="1">
      <c r="A134" s="1" t="s">
        <v>249</v>
      </c>
      <c r="B134" s="10" t="s">
        <v>250</v>
      </c>
      <c r="C134" s="17">
        <f>260.767+5.64288</f>
        <v>266.40988</v>
      </c>
      <c r="D134" s="17">
        <v>164.935</v>
      </c>
      <c r="E134" s="17">
        <v>31.43</v>
      </c>
      <c r="F134" s="48">
        <f t="shared" si="10"/>
        <v>5</v>
      </c>
      <c r="G134" s="17"/>
      <c r="H134" s="17"/>
      <c r="I134" s="17"/>
      <c r="J134" s="17">
        <v>5</v>
      </c>
      <c r="K134" s="17">
        <v>5</v>
      </c>
      <c r="L134" s="17"/>
      <c r="M134" s="27">
        <f t="shared" si="12"/>
        <v>271.40988</v>
      </c>
    </row>
    <row r="135" spans="1:13" s="4" customFormat="1" ht="30.75" customHeight="1">
      <c r="A135" s="1" t="s">
        <v>251</v>
      </c>
      <c r="B135" s="10" t="s">
        <v>27</v>
      </c>
      <c r="C135" s="17">
        <f>2152.877+34.69119</f>
        <v>2187.56819</v>
      </c>
      <c r="D135" s="17">
        <v>1544.242</v>
      </c>
      <c r="E135" s="31">
        <v>26.7</v>
      </c>
      <c r="F135" s="48">
        <f t="shared" si="10"/>
        <v>286.57361000000003</v>
      </c>
      <c r="G135" s="17">
        <v>137.59</v>
      </c>
      <c r="H135" s="17">
        <v>80.46</v>
      </c>
      <c r="I135" s="17"/>
      <c r="J135" s="17">
        <f>20+128.98361</f>
        <v>148.98361</v>
      </c>
      <c r="K135" s="17">
        <f>128.98361</f>
        <v>128.98361</v>
      </c>
      <c r="L135" s="17"/>
      <c r="M135" s="27">
        <f t="shared" si="12"/>
        <v>2474.1418</v>
      </c>
    </row>
    <row r="136" spans="1:13" s="4" customFormat="1" ht="47.25" customHeight="1">
      <c r="A136" s="1" t="s">
        <v>222</v>
      </c>
      <c r="B136" s="10" t="s">
        <v>252</v>
      </c>
      <c r="C136" s="17">
        <f>263.415+17.11355</f>
        <v>280.52855</v>
      </c>
      <c r="D136" s="17">
        <v>180.948</v>
      </c>
      <c r="E136" s="17">
        <v>3.71</v>
      </c>
      <c r="F136" s="48">
        <f t="shared" si="10"/>
        <v>0</v>
      </c>
      <c r="G136" s="17"/>
      <c r="H136" s="17"/>
      <c r="I136" s="17"/>
      <c r="J136" s="17"/>
      <c r="K136" s="17"/>
      <c r="L136" s="17"/>
      <c r="M136" s="27">
        <f t="shared" si="12"/>
        <v>280.52855</v>
      </c>
    </row>
    <row r="137" spans="1:13" s="4" customFormat="1" ht="63" customHeight="1">
      <c r="A137" s="60" t="s">
        <v>222</v>
      </c>
      <c r="B137" s="11" t="s">
        <v>294</v>
      </c>
      <c r="C137" s="25">
        <f>157+26.4855+28.36127</f>
        <v>211.84677</v>
      </c>
      <c r="D137" s="25"/>
      <c r="E137" s="25"/>
      <c r="F137" s="61">
        <f t="shared" si="10"/>
        <v>43</v>
      </c>
      <c r="G137" s="25"/>
      <c r="H137" s="25"/>
      <c r="I137" s="25"/>
      <c r="J137" s="25">
        <v>43</v>
      </c>
      <c r="K137" s="25">
        <v>43</v>
      </c>
      <c r="L137" s="25"/>
      <c r="M137" s="27">
        <f t="shared" si="12"/>
        <v>254.84677</v>
      </c>
    </row>
    <row r="138" spans="1:41" s="114" customFormat="1" ht="36.75" customHeight="1">
      <c r="A138" s="20"/>
      <c r="B138" s="107" t="s">
        <v>156</v>
      </c>
      <c r="C138" s="26">
        <f>SUM(C133:C137)</f>
        <v>3386.44979</v>
      </c>
      <c r="D138" s="26">
        <f>SUM(D133:D137)</f>
        <v>2182.846</v>
      </c>
      <c r="E138" s="26">
        <f>SUM(E133:E137)</f>
        <v>73.3</v>
      </c>
      <c r="F138" s="23">
        <f t="shared" si="10"/>
        <v>364.57361000000003</v>
      </c>
      <c r="G138" s="26">
        <f aca="true" t="shared" si="14" ref="G138:L138">SUM(G133:G137)</f>
        <v>137.59</v>
      </c>
      <c r="H138" s="26">
        <f t="shared" si="14"/>
        <v>80.46</v>
      </c>
      <c r="I138" s="26">
        <f t="shared" si="14"/>
        <v>0</v>
      </c>
      <c r="J138" s="26">
        <f t="shared" si="14"/>
        <v>226.98361</v>
      </c>
      <c r="K138" s="26">
        <f t="shared" si="14"/>
        <v>206.98361</v>
      </c>
      <c r="L138" s="26">
        <f t="shared" si="14"/>
        <v>0</v>
      </c>
      <c r="M138" s="144">
        <f t="shared" si="12"/>
        <v>3751.0234</v>
      </c>
      <c r="N138" s="112"/>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3"/>
      <c r="AL138" s="113"/>
      <c r="AM138" s="113"/>
      <c r="AN138" s="113"/>
      <c r="AO138" s="113"/>
    </row>
    <row r="139" spans="1:13" s="81" customFormat="1" ht="38.25" customHeight="1">
      <c r="A139" s="94" t="s">
        <v>210</v>
      </c>
      <c r="B139" s="95" t="s">
        <v>211</v>
      </c>
      <c r="C139" s="96"/>
      <c r="D139" s="96"/>
      <c r="E139" s="96"/>
      <c r="F139" s="97">
        <f t="shared" si="10"/>
        <v>0</v>
      </c>
      <c r="G139" s="96"/>
      <c r="H139" s="96"/>
      <c r="I139" s="96"/>
      <c r="J139" s="96"/>
      <c r="K139" s="96"/>
      <c r="L139" s="96"/>
      <c r="M139" s="143">
        <f t="shared" si="12"/>
        <v>0</v>
      </c>
    </row>
    <row r="140" spans="1:13" s="4" customFormat="1" ht="102" customHeight="1" hidden="1">
      <c r="A140" s="1" t="s">
        <v>34</v>
      </c>
      <c r="B140" s="13" t="s">
        <v>33</v>
      </c>
      <c r="C140" s="17"/>
      <c r="D140" s="17"/>
      <c r="E140" s="17"/>
      <c r="F140" s="48">
        <f t="shared" si="10"/>
        <v>0</v>
      </c>
      <c r="G140" s="17"/>
      <c r="H140" s="17"/>
      <c r="I140" s="17"/>
      <c r="J140" s="17"/>
      <c r="K140" s="17"/>
      <c r="L140" s="17"/>
      <c r="M140" s="62">
        <f t="shared" si="12"/>
        <v>0</v>
      </c>
    </row>
    <row r="141" spans="1:13" s="4" customFormat="1" ht="83.25" customHeight="1">
      <c r="A141" s="1" t="s">
        <v>237</v>
      </c>
      <c r="B141" s="30" t="s">
        <v>90</v>
      </c>
      <c r="C141" s="17">
        <v>150</v>
      </c>
      <c r="D141" s="17"/>
      <c r="E141" s="17"/>
      <c r="F141" s="48">
        <f t="shared" si="10"/>
        <v>0</v>
      </c>
      <c r="G141" s="17"/>
      <c r="H141" s="17"/>
      <c r="I141" s="17"/>
      <c r="J141" s="17"/>
      <c r="K141" s="17"/>
      <c r="L141" s="17"/>
      <c r="M141" s="63">
        <f t="shared" si="12"/>
        <v>150</v>
      </c>
    </row>
    <row r="142" spans="1:41" s="68" customFormat="1" ht="39" customHeight="1">
      <c r="A142" s="20"/>
      <c r="B142" s="107" t="s">
        <v>156</v>
      </c>
      <c r="C142" s="26">
        <f>SUM(C140:C141)</f>
        <v>150</v>
      </c>
      <c r="D142" s="26">
        <f>SUM(D141:D141)</f>
        <v>0</v>
      </c>
      <c r="E142" s="26">
        <f>SUM(E141:E141)</f>
        <v>0</v>
      </c>
      <c r="F142" s="23">
        <f t="shared" si="10"/>
        <v>0</v>
      </c>
      <c r="G142" s="26">
        <f aca="true" t="shared" si="15" ref="G142:L142">SUM(G141:G141)</f>
        <v>0</v>
      </c>
      <c r="H142" s="26">
        <f t="shared" si="15"/>
        <v>0</v>
      </c>
      <c r="I142" s="26">
        <f t="shared" si="15"/>
        <v>0</v>
      </c>
      <c r="J142" s="26">
        <f t="shared" si="15"/>
        <v>0</v>
      </c>
      <c r="K142" s="26">
        <f t="shared" si="15"/>
        <v>0</v>
      </c>
      <c r="L142" s="26">
        <f t="shared" si="15"/>
        <v>0</v>
      </c>
      <c r="M142" s="109">
        <f t="shared" si="12"/>
        <v>150</v>
      </c>
      <c r="N142" s="110"/>
      <c r="O142" s="67"/>
      <c r="P142" s="67"/>
      <c r="Q142" s="67"/>
      <c r="R142" s="67"/>
      <c r="S142" s="67"/>
      <c r="T142" s="67"/>
      <c r="U142" s="67"/>
      <c r="V142" s="67"/>
      <c r="W142" s="67"/>
      <c r="X142" s="67"/>
      <c r="Y142" s="67"/>
      <c r="Z142" s="67"/>
      <c r="AA142" s="67"/>
      <c r="AB142" s="67"/>
      <c r="AC142" s="67"/>
      <c r="AD142" s="67"/>
      <c r="AE142" s="67"/>
      <c r="AF142" s="67"/>
      <c r="AG142" s="67"/>
      <c r="AH142" s="67"/>
      <c r="AI142" s="67"/>
      <c r="AJ142" s="67"/>
      <c r="AK142" s="67"/>
      <c r="AL142" s="67"/>
      <c r="AM142" s="67"/>
      <c r="AN142" s="67"/>
      <c r="AO142" s="67"/>
    </row>
    <row r="143" spans="1:13" s="81" customFormat="1" ht="33.75" customHeight="1">
      <c r="A143" s="94" t="s">
        <v>182</v>
      </c>
      <c r="B143" s="95" t="s">
        <v>150</v>
      </c>
      <c r="C143" s="96"/>
      <c r="D143" s="96"/>
      <c r="E143" s="96"/>
      <c r="F143" s="97"/>
      <c r="G143" s="96"/>
      <c r="H143" s="96"/>
      <c r="I143" s="96"/>
      <c r="J143" s="96"/>
      <c r="K143" s="96"/>
      <c r="L143" s="96"/>
      <c r="M143" s="111"/>
    </row>
    <row r="144" spans="1:13" s="4" customFormat="1" ht="42.75" customHeight="1">
      <c r="A144" s="1"/>
      <c r="B144" s="152" t="s">
        <v>282</v>
      </c>
      <c r="C144" s="17"/>
      <c r="D144" s="17"/>
      <c r="E144" s="17"/>
      <c r="F144" s="153">
        <f t="shared" si="10"/>
        <v>3.84849</v>
      </c>
      <c r="G144" s="17">
        <f>G149</f>
        <v>3.84849</v>
      </c>
      <c r="H144" s="17">
        <f>H149</f>
        <v>0</v>
      </c>
      <c r="I144" s="17">
        <f>I149</f>
        <v>0</v>
      </c>
      <c r="J144" s="17">
        <f>J149</f>
        <v>0</v>
      </c>
      <c r="K144" s="17">
        <f>K149</f>
        <v>0</v>
      </c>
      <c r="L144" s="17"/>
      <c r="M144" s="156">
        <f t="shared" si="12"/>
        <v>3.84849</v>
      </c>
    </row>
    <row r="145" spans="1:13" s="4" customFormat="1" ht="82.5" customHeight="1">
      <c r="A145" s="1" t="s">
        <v>77</v>
      </c>
      <c r="B145" s="15" t="s">
        <v>93</v>
      </c>
      <c r="C145" s="17">
        <f>12.175+5.20781</f>
        <v>17.38281</v>
      </c>
      <c r="D145" s="17"/>
      <c r="E145" s="17"/>
      <c r="F145" s="48">
        <f t="shared" si="10"/>
        <v>0</v>
      </c>
      <c r="G145" s="17"/>
      <c r="H145" s="17"/>
      <c r="I145" s="17"/>
      <c r="J145" s="17"/>
      <c r="K145" s="17"/>
      <c r="L145" s="17"/>
      <c r="M145" s="63">
        <f t="shared" si="12"/>
        <v>17.38281</v>
      </c>
    </row>
    <row r="146" spans="1:13" s="4" customFormat="1" ht="63" customHeight="1">
      <c r="A146" s="1" t="s">
        <v>77</v>
      </c>
      <c r="B146" s="15" t="s">
        <v>91</v>
      </c>
      <c r="C146" s="17">
        <v>7.3</v>
      </c>
      <c r="D146" s="17"/>
      <c r="E146" s="17"/>
      <c r="F146" s="48">
        <f t="shared" si="10"/>
        <v>0</v>
      </c>
      <c r="G146" s="17"/>
      <c r="H146" s="17"/>
      <c r="I146" s="17"/>
      <c r="J146" s="17"/>
      <c r="K146" s="17"/>
      <c r="L146" s="17"/>
      <c r="M146" s="63">
        <f t="shared" si="12"/>
        <v>7.3</v>
      </c>
    </row>
    <row r="147" spans="1:13" s="4" customFormat="1" ht="75.75" customHeight="1">
      <c r="A147" s="1" t="s">
        <v>62</v>
      </c>
      <c r="B147" s="15" t="s">
        <v>92</v>
      </c>
      <c r="C147" s="17">
        <f>18.515+10.79799</f>
        <v>29.31299</v>
      </c>
      <c r="D147" s="17"/>
      <c r="E147" s="17"/>
      <c r="F147" s="48">
        <f t="shared" si="10"/>
        <v>0</v>
      </c>
      <c r="G147" s="17"/>
      <c r="H147" s="17"/>
      <c r="I147" s="17"/>
      <c r="J147" s="17"/>
      <c r="K147" s="17"/>
      <c r="L147" s="17"/>
      <c r="M147" s="63">
        <f t="shared" si="12"/>
        <v>29.31299</v>
      </c>
    </row>
    <row r="148" spans="1:13" s="4" customFormat="1" ht="57.75" customHeight="1">
      <c r="A148" s="1" t="s">
        <v>183</v>
      </c>
      <c r="B148" s="30" t="s">
        <v>78</v>
      </c>
      <c r="C148" s="17">
        <f>1099.7+95.43648</f>
        <v>1195.1364800000001</v>
      </c>
      <c r="D148" s="17">
        <v>754.22</v>
      </c>
      <c r="E148" s="17">
        <v>30.3</v>
      </c>
      <c r="F148" s="48">
        <f t="shared" si="10"/>
        <v>5.22</v>
      </c>
      <c r="G148" s="17"/>
      <c r="H148" s="17"/>
      <c r="I148" s="17"/>
      <c r="J148" s="17">
        <v>5.22</v>
      </c>
      <c r="K148" s="17">
        <v>5.22</v>
      </c>
      <c r="L148" s="17"/>
      <c r="M148" s="63">
        <f t="shared" si="12"/>
        <v>1200.3564800000001</v>
      </c>
    </row>
    <row r="149" spans="1:13" s="4" customFormat="1" ht="78" customHeight="1">
      <c r="A149" s="1" t="s">
        <v>183</v>
      </c>
      <c r="B149" s="30" t="s">
        <v>65</v>
      </c>
      <c r="C149" s="17"/>
      <c r="D149" s="17"/>
      <c r="E149" s="17"/>
      <c r="F149" s="48">
        <f>G149+J149</f>
        <v>3.84849</v>
      </c>
      <c r="G149" s="17">
        <v>3.84849</v>
      </c>
      <c r="H149" s="17"/>
      <c r="I149" s="17"/>
      <c r="J149" s="17"/>
      <c r="K149" s="17"/>
      <c r="L149" s="17"/>
      <c r="M149" s="63">
        <f>C149+F149</f>
        <v>3.84849</v>
      </c>
    </row>
    <row r="150" spans="1:13" s="4" customFormat="1" ht="79.5" customHeight="1">
      <c r="A150" s="1" t="s">
        <v>29</v>
      </c>
      <c r="B150" s="15" t="s">
        <v>12</v>
      </c>
      <c r="C150" s="139">
        <f>9.31+14.691</f>
        <v>24.001</v>
      </c>
      <c r="D150" s="17"/>
      <c r="E150" s="17"/>
      <c r="F150" s="48">
        <f t="shared" si="10"/>
        <v>0</v>
      </c>
      <c r="G150" s="17"/>
      <c r="H150" s="17"/>
      <c r="I150" s="17"/>
      <c r="J150" s="17"/>
      <c r="K150" s="17"/>
      <c r="L150" s="17"/>
      <c r="M150" s="63">
        <f t="shared" si="12"/>
        <v>24.001</v>
      </c>
    </row>
    <row r="151" spans="1:41" s="68" customFormat="1" ht="35.25" customHeight="1">
      <c r="A151" s="20"/>
      <c r="B151" s="107" t="s">
        <v>156</v>
      </c>
      <c r="C151" s="26">
        <f>SUM(C145:C150)</f>
        <v>1273.13328</v>
      </c>
      <c r="D151" s="26">
        <f>SUM(D145:D150)</f>
        <v>754.22</v>
      </c>
      <c r="E151" s="26">
        <f>SUM(E145:E150)</f>
        <v>30.3</v>
      </c>
      <c r="F151" s="23">
        <f>G151+J151</f>
        <v>9.06849</v>
      </c>
      <c r="G151" s="26">
        <f aca="true" t="shared" si="16" ref="G151:L151">SUM(G145:G150)</f>
        <v>3.84849</v>
      </c>
      <c r="H151" s="26">
        <f t="shared" si="16"/>
        <v>0</v>
      </c>
      <c r="I151" s="26">
        <f t="shared" si="16"/>
        <v>0</v>
      </c>
      <c r="J151" s="26">
        <f t="shared" si="16"/>
        <v>5.22</v>
      </c>
      <c r="K151" s="26">
        <f t="shared" si="16"/>
        <v>5.22</v>
      </c>
      <c r="L151" s="26">
        <f t="shared" si="16"/>
        <v>0</v>
      </c>
      <c r="M151" s="109">
        <f t="shared" si="12"/>
        <v>1282.2017700000001</v>
      </c>
      <c r="N151" s="110"/>
      <c r="O151" s="67"/>
      <c r="P151" s="67"/>
      <c r="Q151" s="67"/>
      <c r="R151" s="67"/>
      <c r="S151" s="67"/>
      <c r="T151" s="67"/>
      <c r="U151" s="67"/>
      <c r="V151" s="67"/>
      <c r="W151" s="67"/>
      <c r="X151" s="67"/>
      <c r="Y151" s="67"/>
      <c r="Z151" s="67"/>
      <c r="AA151" s="67"/>
      <c r="AB151" s="67"/>
      <c r="AC151" s="67"/>
      <c r="AD151" s="67"/>
      <c r="AE151" s="67"/>
      <c r="AF151" s="67"/>
      <c r="AG151" s="67"/>
      <c r="AH151" s="67"/>
      <c r="AI151" s="67"/>
      <c r="AJ151" s="67"/>
      <c r="AK151" s="67"/>
      <c r="AL151" s="67"/>
      <c r="AM151" s="67"/>
      <c r="AN151" s="67"/>
      <c r="AO151" s="67"/>
    </row>
    <row r="152" spans="1:13" s="81" customFormat="1" ht="42.75" customHeight="1">
      <c r="A152" s="94" t="s">
        <v>184</v>
      </c>
      <c r="B152" s="95" t="s">
        <v>198</v>
      </c>
      <c r="C152" s="96"/>
      <c r="D152" s="96"/>
      <c r="E152" s="96"/>
      <c r="F152" s="97"/>
      <c r="G152" s="96"/>
      <c r="H152" s="96"/>
      <c r="I152" s="96"/>
      <c r="J152" s="96"/>
      <c r="K152" s="96"/>
      <c r="L152" s="96"/>
      <c r="M152" s="111"/>
    </row>
    <row r="153" spans="1:13" s="4" customFormat="1" ht="30.75" customHeight="1">
      <c r="A153" s="1"/>
      <c r="B153" s="152" t="s">
        <v>282</v>
      </c>
      <c r="C153" s="17"/>
      <c r="D153" s="17"/>
      <c r="E153" s="17"/>
      <c r="F153" s="153">
        <f t="shared" si="10"/>
        <v>1080.36054</v>
      </c>
      <c r="G153" s="17"/>
      <c r="H153" s="17"/>
      <c r="I153" s="17"/>
      <c r="J153" s="17">
        <f>J157</f>
        <v>1080.36054</v>
      </c>
      <c r="K153" s="17"/>
      <c r="L153" s="17"/>
      <c r="M153" s="156">
        <f t="shared" si="12"/>
        <v>1080.36054</v>
      </c>
    </row>
    <row r="154" spans="1:13" s="4" customFormat="1" ht="85.5" customHeight="1">
      <c r="A154" s="1" t="s">
        <v>185</v>
      </c>
      <c r="B154" s="36" t="s">
        <v>0</v>
      </c>
      <c r="C154" s="17"/>
      <c r="D154" s="17"/>
      <c r="E154" s="17"/>
      <c r="F154" s="48">
        <f t="shared" si="10"/>
        <v>325.1864</v>
      </c>
      <c r="G154" s="17"/>
      <c r="H154" s="17"/>
      <c r="I154" s="17"/>
      <c r="J154" s="17">
        <f>301+24.1864</f>
        <v>325.1864</v>
      </c>
      <c r="K154" s="17">
        <f>301+24.1864</f>
        <v>325.1864</v>
      </c>
      <c r="L154" s="17"/>
      <c r="M154" s="63">
        <f t="shared" si="12"/>
        <v>325.1864</v>
      </c>
    </row>
    <row r="155" spans="1:13" s="4" customFormat="1" ht="94.5" customHeight="1">
      <c r="A155" s="1" t="s">
        <v>185</v>
      </c>
      <c r="B155" s="36" t="s">
        <v>1</v>
      </c>
      <c r="C155" s="17"/>
      <c r="D155" s="17"/>
      <c r="E155" s="17"/>
      <c r="F155" s="48">
        <f t="shared" si="10"/>
        <v>1506.67724</v>
      </c>
      <c r="G155" s="17"/>
      <c r="H155" s="17"/>
      <c r="I155" s="17"/>
      <c r="J155" s="17">
        <f>1155+351.67724</f>
        <v>1506.67724</v>
      </c>
      <c r="K155" s="17">
        <f>1155+351.67724</f>
        <v>1506.67724</v>
      </c>
      <c r="L155" s="17"/>
      <c r="M155" s="63">
        <f t="shared" si="12"/>
        <v>1506.67724</v>
      </c>
    </row>
    <row r="156" spans="1:13" s="4" customFormat="1" ht="141.75" customHeight="1" hidden="1">
      <c r="A156" s="1" t="s">
        <v>185</v>
      </c>
      <c r="B156" s="36" t="s">
        <v>16</v>
      </c>
      <c r="C156" s="17"/>
      <c r="D156" s="17"/>
      <c r="E156" s="17"/>
      <c r="F156" s="48">
        <f t="shared" si="10"/>
        <v>0</v>
      </c>
      <c r="G156" s="17"/>
      <c r="H156" s="17"/>
      <c r="I156" s="17"/>
      <c r="J156" s="17"/>
      <c r="K156" s="17"/>
      <c r="L156" s="17"/>
      <c r="M156" s="63">
        <f t="shared" si="12"/>
        <v>0</v>
      </c>
    </row>
    <row r="157" spans="1:13" s="4" customFormat="1" ht="60.75" customHeight="1">
      <c r="A157" s="1" t="s">
        <v>185</v>
      </c>
      <c r="B157" s="36" t="s">
        <v>64</v>
      </c>
      <c r="C157" s="17"/>
      <c r="D157" s="17"/>
      <c r="E157" s="17"/>
      <c r="F157" s="48">
        <f t="shared" si="10"/>
        <v>1080.36054</v>
      </c>
      <c r="G157" s="17"/>
      <c r="H157" s="17"/>
      <c r="I157" s="17"/>
      <c r="J157" s="17">
        <v>1080.36054</v>
      </c>
      <c r="K157" s="17"/>
      <c r="L157" s="17"/>
      <c r="M157" s="63">
        <f t="shared" si="12"/>
        <v>1080.36054</v>
      </c>
    </row>
    <row r="158" spans="1:13" s="4" customFormat="1" ht="53.25" customHeight="1" hidden="1">
      <c r="A158" s="1" t="s">
        <v>121</v>
      </c>
      <c r="B158" s="36" t="s">
        <v>122</v>
      </c>
      <c r="C158" s="17"/>
      <c r="D158" s="17"/>
      <c r="E158" s="17"/>
      <c r="F158" s="48">
        <f t="shared" si="10"/>
        <v>0</v>
      </c>
      <c r="G158" s="17"/>
      <c r="H158" s="17"/>
      <c r="I158" s="17"/>
      <c r="J158" s="17"/>
      <c r="K158" s="17"/>
      <c r="L158" s="17"/>
      <c r="M158" s="63">
        <f t="shared" si="12"/>
        <v>0</v>
      </c>
    </row>
    <row r="159" spans="1:41" s="68" customFormat="1" ht="33.75" customHeight="1">
      <c r="A159" s="20"/>
      <c r="B159" s="107" t="s">
        <v>156</v>
      </c>
      <c r="C159" s="26">
        <f>SUM(C154:C158)</f>
        <v>0</v>
      </c>
      <c r="D159" s="26">
        <f>SUM(D154:D158)</f>
        <v>0</v>
      </c>
      <c r="E159" s="26">
        <f>SUM(E154:E158)</f>
        <v>0</v>
      </c>
      <c r="F159" s="23">
        <f t="shared" si="10"/>
        <v>2912.22418</v>
      </c>
      <c r="G159" s="26">
        <f aca="true" t="shared" si="17" ref="G159:L159">SUM(G154:G158)</f>
        <v>0</v>
      </c>
      <c r="H159" s="26">
        <f t="shared" si="17"/>
        <v>0</v>
      </c>
      <c r="I159" s="26">
        <f t="shared" si="17"/>
        <v>0</v>
      </c>
      <c r="J159" s="26">
        <f t="shared" si="17"/>
        <v>2912.22418</v>
      </c>
      <c r="K159" s="26">
        <f t="shared" si="17"/>
        <v>1831.86364</v>
      </c>
      <c r="L159" s="26">
        <f t="shared" si="17"/>
        <v>0</v>
      </c>
      <c r="M159" s="109">
        <f t="shared" si="12"/>
        <v>2912.22418</v>
      </c>
      <c r="N159" s="110"/>
      <c r="O159" s="67"/>
      <c r="P159" s="67"/>
      <c r="Q159" s="67"/>
      <c r="R159" s="67"/>
      <c r="S159" s="67"/>
      <c r="T159" s="67"/>
      <c r="U159" s="67"/>
      <c r="V159" s="67"/>
      <c r="W159" s="67"/>
      <c r="X159" s="67"/>
      <c r="Y159" s="67"/>
      <c r="Z159" s="67"/>
      <c r="AA159" s="67"/>
      <c r="AB159" s="67"/>
      <c r="AC159" s="67"/>
      <c r="AD159" s="67"/>
      <c r="AE159" s="67"/>
      <c r="AF159" s="67"/>
      <c r="AG159" s="67"/>
      <c r="AH159" s="67"/>
      <c r="AI159" s="67"/>
      <c r="AJ159" s="67"/>
      <c r="AK159" s="67"/>
      <c r="AL159" s="67"/>
      <c r="AM159" s="67"/>
      <c r="AN159" s="67"/>
      <c r="AO159" s="67"/>
    </row>
    <row r="160" spans="1:41" s="119" customFormat="1" ht="33" customHeight="1" hidden="1">
      <c r="A160" s="117">
        <v>160000</v>
      </c>
      <c r="B160" s="116" t="s">
        <v>302</v>
      </c>
      <c r="C160" s="98"/>
      <c r="D160" s="98"/>
      <c r="E160" s="98"/>
      <c r="F160" s="97">
        <f t="shared" si="10"/>
        <v>0</v>
      </c>
      <c r="G160" s="98"/>
      <c r="H160" s="98"/>
      <c r="I160" s="98"/>
      <c r="J160" s="98"/>
      <c r="K160" s="98"/>
      <c r="L160" s="98"/>
      <c r="M160" s="111">
        <f t="shared" si="12"/>
        <v>0</v>
      </c>
      <c r="N160" s="118"/>
      <c r="O160" s="118"/>
      <c r="P160" s="118"/>
      <c r="Q160" s="118"/>
      <c r="R160" s="118"/>
      <c r="S160" s="118"/>
      <c r="T160" s="118"/>
      <c r="U160" s="118"/>
      <c r="V160" s="118"/>
      <c r="W160" s="118"/>
      <c r="X160" s="118"/>
      <c r="Y160" s="118"/>
      <c r="Z160" s="118"/>
      <c r="AA160" s="118"/>
      <c r="AB160" s="118"/>
      <c r="AC160" s="118"/>
      <c r="AD160" s="118"/>
      <c r="AE160" s="118"/>
      <c r="AF160" s="118"/>
      <c r="AG160" s="118"/>
      <c r="AH160" s="118"/>
      <c r="AI160" s="118"/>
      <c r="AJ160" s="118"/>
      <c r="AK160" s="118"/>
      <c r="AL160" s="118"/>
      <c r="AM160" s="118"/>
      <c r="AN160" s="118"/>
      <c r="AO160" s="118"/>
    </row>
    <row r="161" spans="1:41" s="123" customFormat="1" ht="46.5" customHeight="1" hidden="1">
      <c r="A161" s="120">
        <v>160101</v>
      </c>
      <c r="B161" s="13" t="s">
        <v>123</v>
      </c>
      <c r="C161" s="27">
        <f>100-10-35-55</f>
        <v>0</v>
      </c>
      <c r="D161" s="27"/>
      <c r="E161" s="27"/>
      <c r="F161" s="48">
        <f t="shared" si="10"/>
        <v>0</v>
      </c>
      <c r="G161" s="27"/>
      <c r="H161" s="27"/>
      <c r="I161" s="27"/>
      <c r="J161" s="27"/>
      <c r="K161" s="27"/>
      <c r="L161" s="27"/>
      <c r="M161" s="63">
        <f t="shared" si="12"/>
        <v>0</v>
      </c>
      <c r="N161" s="121"/>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c r="AN161" s="122"/>
      <c r="AO161" s="122"/>
    </row>
    <row r="162" spans="1:41" s="68" customFormat="1" ht="37.5" customHeight="1" hidden="1">
      <c r="A162" s="20"/>
      <c r="B162" s="115" t="s">
        <v>156</v>
      </c>
      <c r="C162" s="26">
        <f>C161</f>
        <v>0</v>
      </c>
      <c r="D162" s="26">
        <f>D161</f>
        <v>0</v>
      </c>
      <c r="E162" s="26">
        <f>E161</f>
        <v>0</v>
      </c>
      <c r="F162" s="23">
        <f t="shared" si="10"/>
        <v>0</v>
      </c>
      <c r="G162" s="26">
        <f aca="true" t="shared" si="18" ref="G162:L162">G161</f>
        <v>0</v>
      </c>
      <c r="H162" s="26">
        <f t="shared" si="18"/>
        <v>0</v>
      </c>
      <c r="I162" s="26">
        <f t="shared" si="18"/>
        <v>0</v>
      </c>
      <c r="J162" s="26">
        <f t="shared" si="18"/>
        <v>0</v>
      </c>
      <c r="K162" s="26">
        <f t="shared" si="18"/>
        <v>0</v>
      </c>
      <c r="L162" s="26">
        <f t="shared" si="18"/>
        <v>0</v>
      </c>
      <c r="M162" s="109">
        <f t="shared" si="12"/>
        <v>0</v>
      </c>
      <c r="N162" s="110"/>
      <c r="O162" s="67"/>
      <c r="P162" s="67"/>
      <c r="Q162" s="67"/>
      <c r="R162" s="67"/>
      <c r="S162" s="67"/>
      <c r="T162" s="67"/>
      <c r="U162" s="67"/>
      <c r="V162" s="67"/>
      <c r="W162" s="67"/>
      <c r="X162" s="67"/>
      <c r="Y162" s="67"/>
      <c r="Z162" s="67"/>
      <c r="AA162" s="67"/>
      <c r="AB162" s="67"/>
      <c r="AC162" s="67"/>
      <c r="AD162" s="67"/>
      <c r="AE162" s="67"/>
      <c r="AF162" s="67"/>
      <c r="AG162" s="67"/>
      <c r="AH162" s="67"/>
      <c r="AI162" s="67"/>
      <c r="AJ162" s="67"/>
      <c r="AK162" s="67"/>
      <c r="AL162" s="67"/>
      <c r="AM162" s="67"/>
      <c r="AN162" s="67"/>
      <c r="AO162" s="67"/>
    </row>
    <row r="163" spans="1:13" s="4" customFormat="1" ht="42.75" customHeight="1" hidden="1">
      <c r="A163" s="1"/>
      <c r="B163" s="15" t="s">
        <v>282</v>
      </c>
      <c r="C163" s="17">
        <f>C167+C168</f>
        <v>541.4</v>
      </c>
      <c r="D163" s="17"/>
      <c r="E163" s="17"/>
      <c r="F163" s="48">
        <f t="shared" si="10"/>
        <v>1499.20136</v>
      </c>
      <c r="G163" s="17">
        <f aca="true" t="shared" si="19" ref="G163:L163">G169</f>
        <v>410.2654</v>
      </c>
      <c r="H163" s="17">
        <f t="shared" si="19"/>
        <v>0</v>
      </c>
      <c r="I163" s="17">
        <f t="shared" si="19"/>
        <v>0</v>
      </c>
      <c r="J163" s="17">
        <f t="shared" si="19"/>
        <v>1088.93596</v>
      </c>
      <c r="K163" s="17">
        <f t="shared" si="19"/>
        <v>0</v>
      </c>
      <c r="L163" s="17">
        <f t="shared" si="19"/>
        <v>0</v>
      </c>
      <c r="M163" s="63">
        <f t="shared" si="12"/>
        <v>2040.60136</v>
      </c>
    </row>
    <row r="164" spans="1:13" s="81" customFormat="1" ht="59.25" customHeight="1">
      <c r="A164" s="94" t="s">
        <v>186</v>
      </c>
      <c r="B164" s="95" t="s">
        <v>187</v>
      </c>
      <c r="C164" s="96"/>
      <c r="D164" s="96"/>
      <c r="E164" s="96"/>
      <c r="F164" s="97"/>
      <c r="G164" s="96"/>
      <c r="H164" s="96"/>
      <c r="I164" s="96"/>
      <c r="J164" s="96"/>
      <c r="K164" s="96"/>
      <c r="L164" s="96"/>
      <c r="M164" s="111"/>
    </row>
    <row r="165" spans="1:13" s="4" customFormat="1" ht="26.25" customHeight="1">
      <c r="A165" s="1"/>
      <c r="B165" s="152" t="s">
        <v>282</v>
      </c>
      <c r="C165" s="17">
        <f>C167+C168</f>
        <v>541.4</v>
      </c>
      <c r="D165" s="17"/>
      <c r="E165" s="17"/>
      <c r="F165" s="153">
        <f>F169+F170</f>
        <v>2045.50136</v>
      </c>
      <c r="G165" s="153">
        <f aca="true" t="shared" si="20" ref="G165:L165">G169+G170</f>
        <v>585.0654</v>
      </c>
      <c r="H165" s="153">
        <f t="shared" si="20"/>
        <v>0</v>
      </c>
      <c r="I165" s="153">
        <f t="shared" si="20"/>
        <v>0</v>
      </c>
      <c r="J165" s="153">
        <f t="shared" si="20"/>
        <v>1460.43596</v>
      </c>
      <c r="K165" s="153">
        <f t="shared" si="20"/>
        <v>0</v>
      </c>
      <c r="L165" s="153">
        <f t="shared" si="20"/>
        <v>0</v>
      </c>
      <c r="M165" s="156">
        <f t="shared" si="12"/>
        <v>2586.90136</v>
      </c>
    </row>
    <row r="166" spans="1:13" s="4" customFormat="1" ht="81.75" customHeight="1">
      <c r="A166" s="1" t="s">
        <v>188</v>
      </c>
      <c r="B166" s="15" t="s">
        <v>138</v>
      </c>
      <c r="C166" s="17">
        <v>350</v>
      </c>
      <c r="D166" s="17"/>
      <c r="E166" s="17"/>
      <c r="F166" s="48">
        <f t="shared" si="10"/>
        <v>0</v>
      </c>
      <c r="G166" s="17"/>
      <c r="H166" s="17"/>
      <c r="I166" s="17"/>
      <c r="J166" s="17"/>
      <c r="K166" s="17"/>
      <c r="L166" s="17"/>
      <c r="M166" s="63">
        <f t="shared" si="12"/>
        <v>350</v>
      </c>
    </row>
    <row r="167" spans="1:13" s="4" customFormat="1" ht="79.5" customHeight="1">
      <c r="A167" s="1" t="s">
        <v>188</v>
      </c>
      <c r="B167" s="9" t="s">
        <v>266</v>
      </c>
      <c r="C167" s="31">
        <f>523.4</f>
        <v>523.4</v>
      </c>
      <c r="D167" s="17"/>
      <c r="E167" s="17"/>
      <c r="F167" s="48"/>
      <c r="G167" s="17"/>
      <c r="H167" s="17"/>
      <c r="I167" s="17"/>
      <c r="J167" s="17"/>
      <c r="K167" s="17"/>
      <c r="L167" s="17"/>
      <c r="M167" s="27">
        <f t="shared" si="12"/>
        <v>523.4</v>
      </c>
    </row>
    <row r="168" spans="1:13" s="4" customFormat="1" ht="65.25" customHeight="1">
      <c r="A168" s="1" t="s">
        <v>218</v>
      </c>
      <c r="B168" s="9" t="s">
        <v>267</v>
      </c>
      <c r="C168" s="31">
        <f>18</f>
        <v>18</v>
      </c>
      <c r="D168" s="17"/>
      <c r="E168" s="17"/>
      <c r="F168" s="48"/>
      <c r="G168" s="17"/>
      <c r="H168" s="17"/>
      <c r="I168" s="17"/>
      <c r="J168" s="17"/>
      <c r="K168" s="17"/>
      <c r="L168" s="17"/>
      <c r="M168" s="27">
        <f t="shared" si="12"/>
        <v>18</v>
      </c>
    </row>
    <row r="169" spans="1:13" s="4" customFormat="1" ht="105" customHeight="1">
      <c r="A169" s="1" t="s">
        <v>189</v>
      </c>
      <c r="B169" s="30" t="s">
        <v>292</v>
      </c>
      <c r="C169" s="17"/>
      <c r="D169" s="17"/>
      <c r="E169" s="17"/>
      <c r="F169" s="48">
        <f>G169+J169</f>
        <v>1499.20136</v>
      </c>
      <c r="G169" s="17">
        <f>365+45.2654</f>
        <v>410.2654</v>
      </c>
      <c r="H169" s="17"/>
      <c r="I169" s="17"/>
      <c r="J169" s="17">
        <f>775.6+313.33596</f>
        <v>1088.93596</v>
      </c>
      <c r="K169" s="17"/>
      <c r="L169" s="17"/>
      <c r="M169" s="27">
        <f t="shared" si="12"/>
        <v>1499.20136</v>
      </c>
    </row>
    <row r="170" spans="1:13" s="4" customFormat="1" ht="155.25" customHeight="1">
      <c r="A170" s="1" t="s">
        <v>189</v>
      </c>
      <c r="B170" s="30" t="s">
        <v>106</v>
      </c>
      <c r="C170" s="17"/>
      <c r="D170" s="17"/>
      <c r="E170" s="17"/>
      <c r="F170" s="48">
        <f>G170+J170</f>
        <v>546.3</v>
      </c>
      <c r="G170" s="17">
        <v>174.8</v>
      </c>
      <c r="H170" s="17"/>
      <c r="I170" s="17"/>
      <c r="J170" s="17">
        <v>371.5</v>
      </c>
      <c r="K170" s="17"/>
      <c r="L170" s="17"/>
      <c r="M170" s="27">
        <f t="shared" si="12"/>
        <v>546.3</v>
      </c>
    </row>
    <row r="171" spans="1:13" s="4" customFormat="1" ht="96" customHeight="1">
      <c r="A171" s="1" t="s">
        <v>189</v>
      </c>
      <c r="B171" s="9" t="s">
        <v>124</v>
      </c>
      <c r="C171" s="17"/>
      <c r="D171" s="17"/>
      <c r="E171" s="17"/>
      <c r="F171" s="48">
        <f t="shared" si="10"/>
        <v>85</v>
      </c>
      <c r="G171" s="17">
        <v>53.57</v>
      </c>
      <c r="H171" s="17"/>
      <c r="I171" s="17"/>
      <c r="J171" s="17">
        <v>31.43</v>
      </c>
      <c r="K171" s="17"/>
      <c r="L171" s="17"/>
      <c r="M171" s="27">
        <f t="shared" si="12"/>
        <v>85</v>
      </c>
    </row>
    <row r="172" spans="1:13" s="4" customFormat="1" ht="97.5" customHeight="1" hidden="1">
      <c r="A172" s="1" t="s">
        <v>189</v>
      </c>
      <c r="B172" s="9" t="s">
        <v>124</v>
      </c>
      <c r="C172" s="17"/>
      <c r="D172" s="17"/>
      <c r="E172" s="17"/>
      <c r="F172" s="48">
        <f t="shared" si="10"/>
        <v>0</v>
      </c>
      <c r="G172" s="17"/>
      <c r="H172" s="17"/>
      <c r="I172" s="17"/>
      <c r="J172" s="17"/>
      <c r="K172" s="17"/>
      <c r="L172" s="17"/>
      <c r="M172" s="27">
        <f t="shared" si="12"/>
        <v>0</v>
      </c>
    </row>
    <row r="173" spans="1:41" s="68" customFormat="1" ht="35.25" customHeight="1">
      <c r="A173" s="20"/>
      <c r="B173" s="107" t="s">
        <v>156</v>
      </c>
      <c r="C173" s="26">
        <f>SUM(C166:C172)</f>
        <v>891.4</v>
      </c>
      <c r="D173" s="26">
        <f>SUM(D166:D172)</f>
        <v>0</v>
      </c>
      <c r="E173" s="26">
        <f>SUM(E166:E172)</f>
        <v>0</v>
      </c>
      <c r="F173" s="23">
        <f>G173+J173</f>
        <v>2130.50136</v>
      </c>
      <c r="G173" s="26">
        <f aca="true" t="shared" si="21" ref="G173:L173">SUM(G166:G172)</f>
        <v>638.6354</v>
      </c>
      <c r="H173" s="26">
        <f t="shared" si="21"/>
        <v>0</v>
      </c>
      <c r="I173" s="26">
        <f t="shared" si="21"/>
        <v>0</v>
      </c>
      <c r="J173" s="26">
        <f t="shared" si="21"/>
        <v>1491.86596</v>
      </c>
      <c r="K173" s="26">
        <f t="shared" si="21"/>
        <v>0</v>
      </c>
      <c r="L173" s="26">
        <f t="shared" si="21"/>
        <v>0</v>
      </c>
      <c r="M173" s="26">
        <f>C173+F173</f>
        <v>3021.9013600000003</v>
      </c>
      <c r="N173" s="110"/>
      <c r="O173" s="67"/>
      <c r="P173" s="67"/>
      <c r="Q173" s="67"/>
      <c r="R173" s="67"/>
      <c r="S173" s="67"/>
      <c r="T173" s="67"/>
      <c r="U173" s="67"/>
      <c r="V173" s="67"/>
      <c r="W173" s="67"/>
      <c r="X173" s="67"/>
      <c r="Y173" s="67"/>
      <c r="Z173" s="67"/>
      <c r="AA173" s="67"/>
      <c r="AB173" s="67"/>
      <c r="AC173" s="67"/>
      <c r="AD173" s="67"/>
      <c r="AE173" s="67"/>
      <c r="AF173" s="67"/>
      <c r="AG173" s="67"/>
      <c r="AH173" s="67"/>
      <c r="AI173" s="67"/>
      <c r="AJ173" s="67"/>
      <c r="AK173" s="67"/>
      <c r="AL173" s="67"/>
      <c r="AM173" s="67"/>
      <c r="AN173" s="67"/>
      <c r="AO173" s="67"/>
    </row>
    <row r="174" spans="1:13" s="81" customFormat="1" ht="48" customHeight="1">
      <c r="A174" s="94" t="s">
        <v>18</v>
      </c>
      <c r="B174" s="124" t="s">
        <v>19</v>
      </c>
      <c r="C174" s="96"/>
      <c r="D174" s="96"/>
      <c r="E174" s="96"/>
      <c r="F174" s="97"/>
      <c r="G174" s="96"/>
      <c r="H174" s="96"/>
      <c r="I174" s="96"/>
      <c r="J174" s="96"/>
      <c r="K174" s="96"/>
      <c r="L174" s="96"/>
      <c r="M174" s="98"/>
    </row>
    <row r="175" spans="1:13" s="4" customFormat="1" ht="47.25" customHeight="1" hidden="1">
      <c r="A175" s="1" t="s">
        <v>215</v>
      </c>
      <c r="B175" s="7" t="s">
        <v>301</v>
      </c>
      <c r="C175" s="17"/>
      <c r="D175" s="17"/>
      <c r="E175" s="17"/>
      <c r="F175" s="48">
        <f aca="true" t="shared" si="22" ref="F175:F187">G175+J175</f>
        <v>0</v>
      </c>
      <c r="G175" s="17"/>
      <c r="H175" s="17"/>
      <c r="I175" s="17"/>
      <c r="J175" s="17"/>
      <c r="K175" s="17"/>
      <c r="L175" s="17"/>
      <c r="M175" s="27">
        <f aca="true" t="shared" si="23" ref="M175:M206">C175+F175</f>
        <v>0</v>
      </c>
    </row>
    <row r="176" spans="1:13" s="4" customFormat="1" ht="87" customHeight="1">
      <c r="A176" s="1" t="s">
        <v>215</v>
      </c>
      <c r="B176" s="13" t="s">
        <v>126</v>
      </c>
      <c r="C176" s="17">
        <v>10</v>
      </c>
      <c r="D176" s="17"/>
      <c r="E176" s="17"/>
      <c r="F176" s="48">
        <f t="shared" si="22"/>
        <v>0</v>
      </c>
      <c r="G176" s="17"/>
      <c r="H176" s="17"/>
      <c r="I176" s="17"/>
      <c r="J176" s="17"/>
      <c r="K176" s="17"/>
      <c r="L176" s="17"/>
      <c r="M176" s="27">
        <f t="shared" si="23"/>
        <v>10</v>
      </c>
    </row>
    <row r="177" spans="1:13" s="4" customFormat="1" ht="82.5" customHeight="1">
      <c r="A177" s="1" t="s">
        <v>215</v>
      </c>
      <c r="B177" s="12" t="s">
        <v>306</v>
      </c>
      <c r="C177" s="17">
        <f>27.9+37.63955+79.49256</f>
        <v>145.03211</v>
      </c>
      <c r="D177" s="17"/>
      <c r="E177" s="17"/>
      <c r="F177" s="48">
        <f t="shared" si="22"/>
        <v>69.6</v>
      </c>
      <c r="G177" s="17"/>
      <c r="H177" s="17"/>
      <c r="I177" s="17"/>
      <c r="J177" s="17">
        <f>44+25.6</f>
        <v>69.6</v>
      </c>
      <c r="K177" s="17">
        <f>44+25.6</f>
        <v>69.6</v>
      </c>
      <c r="L177" s="17"/>
      <c r="M177" s="27">
        <f t="shared" si="23"/>
        <v>214.63210999999998</v>
      </c>
    </row>
    <row r="178" spans="1:13" s="4" customFormat="1" ht="97.5" customHeight="1">
      <c r="A178" s="1" t="s">
        <v>215</v>
      </c>
      <c r="B178" s="12" t="s">
        <v>307</v>
      </c>
      <c r="C178" s="17">
        <f>10+0.132</f>
        <v>10.132</v>
      </c>
      <c r="D178" s="17"/>
      <c r="E178" s="17"/>
      <c r="F178" s="48">
        <f t="shared" si="22"/>
        <v>0</v>
      </c>
      <c r="G178" s="17"/>
      <c r="H178" s="17"/>
      <c r="I178" s="17"/>
      <c r="J178" s="17"/>
      <c r="K178" s="17"/>
      <c r="L178" s="17"/>
      <c r="M178" s="27">
        <f>C178+F178</f>
        <v>10.132</v>
      </c>
    </row>
    <row r="179" spans="1:13" s="4" customFormat="1" ht="104.25" customHeight="1">
      <c r="A179" s="1" t="s">
        <v>215</v>
      </c>
      <c r="B179" s="33" t="s">
        <v>2</v>
      </c>
      <c r="C179" s="17"/>
      <c r="D179" s="17"/>
      <c r="E179" s="17"/>
      <c r="F179" s="48">
        <f t="shared" si="22"/>
        <v>1.37846</v>
      </c>
      <c r="G179" s="17"/>
      <c r="H179" s="17"/>
      <c r="I179" s="17"/>
      <c r="J179" s="17">
        <v>1.37846</v>
      </c>
      <c r="K179" s="17">
        <v>1.37846</v>
      </c>
      <c r="L179" s="17"/>
      <c r="M179" s="27">
        <f t="shared" si="23"/>
        <v>1.37846</v>
      </c>
    </row>
    <row r="180" spans="1:13" s="4" customFormat="1" ht="133.5" customHeight="1">
      <c r="A180" s="1" t="s">
        <v>215</v>
      </c>
      <c r="B180" s="33" t="s">
        <v>293</v>
      </c>
      <c r="C180" s="17"/>
      <c r="D180" s="17"/>
      <c r="E180" s="17"/>
      <c r="F180" s="48">
        <f t="shared" si="22"/>
        <v>65.4</v>
      </c>
      <c r="G180" s="17"/>
      <c r="H180" s="17"/>
      <c r="I180" s="17"/>
      <c r="J180" s="17">
        <v>65.4</v>
      </c>
      <c r="K180" s="17">
        <v>65.4</v>
      </c>
      <c r="L180" s="17"/>
      <c r="M180" s="27">
        <f t="shared" si="23"/>
        <v>65.4</v>
      </c>
    </row>
    <row r="181" spans="1:13" s="4" customFormat="1" ht="135" customHeight="1">
      <c r="A181" s="1" t="s">
        <v>215</v>
      </c>
      <c r="B181" s="33" t="s">
        <v>296</v>
      </c>
      <c r="C181" s="17">
        <v>23</v>
      </c>
      <c r="D181" s="17"/>
      <c r="E181" s="17"/>
      <c r="F181" s="48">
        <f t="shared" si="22"/>
        <v>0</v>
      </c>
      <c r="G181" s="17"/>
      <c r="H181" s="17"/>
      <c r="I181" s="17"/>
      <c r="J181" s="17"/>
      <c r="K181" s="17"/>
      <c r="L181" s="17"/>
      <c r="M181" s="27">
        <f>C181+F181</f>
        <v>23</v>
      </c>
    </row>
    <row r="182" spans="1:13" s="4" customFormat="1" ht="126.75" customHeight="1" hidden="1">
      <c r="A182" s="1" t="s">
        <v>215</v>
      </c>
      <c r="B182" s="16" t="s">
        <v>38</v>
      </c>
      <c r="C182" s="17"/>
      <c r="D182" s="17"/>
      <c r="E182" s="17"/>
      <c r="F182" s="48">
        <f t="shared" si="22"/>
        <v>0</v>
      </c>
      <c r="G182" s="17"/>
      <c r="H182" s="17"/>
      <c r="I182" s="17"/>
      <c r="J182" s="17"/>
      <c r="K182" s="17"/>
      <c r="L182" s="17"/>
      <c r="M182" s="27">
        <f t="shared" si="23"/>
        <v>0</v>
      </c>
    </row>
    <row r="183" spans="1:13" s="4" customFormat="1" ht="119.25" customHeight="1">
      <c r="A183" s="1" t="s">
        <v>215</v>
      </c>
      <c r="B183" s="12" t="s">
        <v>36</v>
      </c>
      <c r="C183" s="17">
        <v>3</v>
      </c>
      <c r="D183" s="17"/>
      <c r="E183" s="17"/>
      <c r="F183" s="48">
        <f t="shared" si="22"/>
        <v>0</v>
      </c>
      <c r="G183" s="17"/>
      <c r="H183" s="17"/>
      <c r="I183" s="17"/>
      <c r="J183" s="17"/>
      <c r="K183" s="17"/>
      <c r="L183" s="17"/>
      <c r="M183" s="27">
        <f t="shared" si="23"/>
        <v>3</v>
      </c>
    </row>
    <row r="184" spans="1:13" s="4" customFormat="1" ht="77.25" customHeight="1">
      <c r="A184" s="1" t="s">
        <v>281</v>
      </c>
      <c r="B184" s="12" t="s">
        <v>39</v>
      </c>
      <c r="C184" s="17">
        <v>5</v>
      </c>
      <c r="D184" s="17"/>
      <c r="E184" s="17"/>
      <c r="F184" s="48">
        <f t="shared" si="22"/>
        <v>0</v>
      </c>
      <c r="G184" s="17"/>
      <c r="H184" s="17"/>
      <c r="I184" s="17"/>
      <c r="J184" s="17"/>
      <c r="K184" s="17"/>
      <c r="L184" s="17"/>
      <c r="M184" s="27">
        <f>C184+F184</f>
        <v>5</v>
      </c>
    </row>
    <row r="185" spans="1:13" s="4" customFormat="1" ht="46.5" customHeight="1" hidden="1">
      <c r="A185" s="1" t="s">
        <v>17</v>
      </c>
      <c r="B185" s="12" t="s">
        <v>66</v>
      </c>
      <c r="C185" s="17"/>
      <c r="D185" s="17"/>
      <c r="E185" s="17"/>
      <c r="F185" s="48">
        <f t="shared" si="22"/>
        <v>0</v>
      </c>
      <c r="G185" s="17"/>
      <c r="H185" s="17"/>
      <c r="I185" s="17"/>
      <c r="J185" s="17"/>
      <c r="K185" s="17"/>
      <c r="L185" s="17"/>
      <c r="M185" s="27">
        <f t="shared" si="23"/>
        <v>0</v>
      </c>
    </row>
    <row r="186" spans="1:41" s="68" customFormat="1" ht="38.25" customHeight="1">
      <c r="A186" s="20"/>
      <c r="B186" s="107" t="s">
        <v>156</v>
      </c>
      <c r="C186" s="26">
        <f>SUM(C175:C185)</f>
        <v>196.16411</v>
      </c>
      <c r="D186" s="26">
        <f>SUM(D185:D185)</f>
        <v>0</v>
      </c>
      <c r="E186" s="26">
        <f>SUM(E185:E185)</f>
        <v>0</v>
      </c>
      <c r="F186" s="23">
        <f t="shared" si="22"/>
        <v>136.37846000000002</v>
      </c>
      <c r="G186" s="26">
        <f aca="true" t="shared" si="24" ref="G186:L186">SUM(G175:G185)</f>
        <v>0</v>
      </c>
      <c r="H186" s="26">
        <f t="shared" si="24"/>
        <v>0</v>
      </c>
      <c r="I186" s="26">
        <f t="shared" si="24"/>
        <v>0</v>
      </c>
      <c r="J186" s="26">
        <f t="shared" si="24"/>
        <v>136.37846000000002</v>
      </c>
      <c r="K186" s="26">
        <f t="shared" si="24"/>
        <v>136.37846000000002</v>
      </c>
      <c r="L186" s="26">
        <f t="shared" si="24"/>
        <v>0</v>
      </c>
      <c r="M186" s="26">
        <f t="shared" si="23"/>
        <v>332.54257</v>
      </c>
      <c r="N186" s="110"/>
      <c r="O186" s="67"/>
      <c r="P186" s="67"/>
      <c r="Q186" s="67"/>
      <c r="R186" s="67"/>
      <c r="S186" s="67"/>
      <c r="T186" s="67"/>
      <c r="U186" s="67"/>
      <c r="V186" s="67"/>
      <c r="W186" s="67"/>
      <c r="X186" s="67"/>
      <c r="Y186" s="67"/>
      <c r="Z186" s="67"/>
      <c r="AA186" s="67"/>
      <c r="AB186" s="67"/>
      <c r="AC186" s="67"/>
      <c r="AD186" s="67"/>
      <c r="AE186" s="67"/>
      <c r="AF186" s="67"/>
      <c r="AG186" s="67"/>
      <c r="AH186" s="67"/>
      <c r="AI186" s="67"/>
      <c r="AJ186" s="67"/>
      <c r="AK186" s="67"/>
      <c r="AL186" s="67"/>
      <c r="AM186" s="67"/>
      <c r="AN186" s="67"/>
      <c r="AO186" s="67"/>
    </row>
    <row r="187" spans="1:13" s="4" customFormat="1" ht="52.5" customHeight="1" hidden="1">
      <c r="A187" s="1" t="s">
        <v>67</v>
      </c>
      <c r="B187" s="33" t="s">
        <v>15</v>
      </c>
      <c r="C187" s="17">
        <v>0</v>
      </c>
      <c r="D187" s="17"/>
      <c r="E187" s="17"/>
      <c r="F187" s="48">
        <f t="shared" si="22"/>
        <v>0</v>
      </c>
      <c r="G187" s="17"/>
      <c r="H187" s="17"/>
      <c r="I187" s="17"/>
      <c r="J187" s="17"/>
      <c r="K187" s="17"/>
      <c r="L187" s="17"/>
      <c r="M187" s="27">
        <f t="shared" si="23"/>
        <v>0</v>
      </c>
    </row>
    <row r="188" spans="1:13" s="81" customFormat="1" ht="61.5" customHeight="1">
      <c r="A188" s="94" t="s">
        <v>20</v>
      </c>
      <c r="B188" s="125" t="s">
        <v>23</v>
      </c>
      <c r="C188" s="96"/>
      <c r="D188" s="96"/>
      <c r="E188" s="96"/>
      <c r="F188" s="97"/>
      <c r="G188" s="96"/>
      <c r="H188" s="96"/>
      <c r="I188" s="96"/>
      <c r="J188" s="96"/>
      <c r="K188" s="96"/>
      <c r="L188" s="96"/>
      <c r="M188" s="98"/>
    </row>
    <row r="189" spans="1:13" s="4" customFormat="1" ht="82.5" customHeight="1">
      <c r="A189" s="1" t="s">
        <v>195</v>
      </c>
      <c r="B189" s="15" t="s">
        <v>13</v>
      </c>
      <c r="C189" s="17">
        <f>20+13.31037</f>
        <v>33.31037</v>
      </c>
      <c r="D189" s="17"/>
      <c r="E189" s="17"/>
      <c r="F189" s="48">
        <f>G189+J189</f>
        <v>7.997</v>
      </c>
      <c r="G189" s="17"/>
      <c r="H189" s="17"/>
      <c r="I189" s="17"/>
      <c r="J189" s="17">
        <f>18.5-10.503</f>
        <v>7.997</v>
      </c>
      <c r="K189" s="17">
        <f>18.5-10.503</f>
        <v>7.997</v>
      </c>
      <c r="L189" s="17"/>
      <c r="M189" s="27">
        <f t="shared" si="23"/>
        <v>41.30737</v>
      </c>
    </row>
    <row r="190" spans="1:13" s="4" customFormat="1" ht="47.25" customHeight="1">
      <c r="A190" s="1" t="s">
        <v>190</v>
      </c>
      <c r="B190" s="15" t="s">
        <v>221</v>
      </c>
      <c r="C190" s="17">
        <f>249.4+5.72019</f>
        <v>255.12019</v>
      </c>
      <c r="D190" s="17">
        <v>174.615</v>
      </c>
      <c r="E190" s="17">
        <v>6.2</v>
      </c>
      <c r="F190" s="48">
        <f>G190+J190</f>
        <v>21.3</v>
      </c>
      <c r="G190" s="17"/>
      <c r="H190" s="17"/>
      <c r="I190" s="17"/>
      <c r="J190" s="17">
        <v>21.3</v>
      </c>
      <c r="K190" s="17">
        <v>21.3</v>
      </c>
      <c r="L190" s="17"/>
      <c r="M190" s="27">
        <f t="shared" si="23"/>
        <v>276.42019</v>
      </c>
    </row>
    <row r="191" spans="1:41" s="68" customFormat="1" ht="35.25" customHeight="1">
      <c r="A191" s="20"/>
      <c r="B191" s="107" t="s">
        <v>156</v>
      </c>
      <c r="C191" s="26">
        <f>SUM(C189:C190)</f>
        <v>288.43056</v>
      </c>
      <c r="D191" s="26">
        <f>SUM(D189:D190)</f>
        <v>174.615</v>
      </c>
      <c r="E191" s="26">
        <f>SUM(E189:E190)</f>
        <v>6.2</v>
      </c>
      <c r="F191" s="23">
        <f>G191+J191</f>
        <v>29.297</v>
      </c>
      <c r="G191" s="26">
        <f aca="true" t="shared" si="25" ref="G191:L191">SUM(G189:G190)</f>
        <v>0</v>
      </c>
      <c r="H191" s="26">
        <f t="shared" si="25"/>
        <v>0</v>
      </c>
      <c r="I191" s="26">
        <f t="shared" si="25"/>
        <v>0</v>
      </c>
      <c r="J191" s="26">
        <f>SUM(J189:J190)</f>
        <v>29.297</v>
      </c>
      <c r="K191" s="26">
        <f>SUM(K189:K190)</f>
        <v>29.297</v>
      </c>
      <c r="L191" s="26">
        <f t="shared" si="25"/>
        <v>0</v>
      </c>
      <c r="M191" s="26">
        <f t="shared" si="23"/>
        <v>317.72756000000004</v>
      </c>
      <c r="N191" s="110"/>
      <c r="O191" s="67"/>
      <c r="P191" s="67"/>
      <c r="Q191" s="67"/>
      <c r="R191" s="67"/>
      <c r="S191" s="67"/>
      <c r="T191" s="67"/>
      <c r="U191" s="67"/>
      <c r="V191" s="67"/>
      <c r="W191" s="67"/>
      <c r="X191" s="67"/>
      <c r="Y191" s="67"/>
      <c r="Z191" s="67"/>
      <c r="AA191" s="67"/>
      <c r="AB191" s="67"/>
      <c r="AC191" s="67"/>
      <c r="AD191" s="67"/>
      <c r="AE191" s="67"/>
      <c r="AF191" s="67"/>
      <c r="AG191" s="67"/>
      <c r="AH191" s="67"/>
      <c r="AI191" s="67"/>
      <c r="AJ191" s="67"/>
      <c r="AK191" s="67"/>
      <c r="AL191" s="67"/>
      <c r="AM191" s="67"/>
      <c r="AN191" s="67"/>
      <c r="AO191" s="67"/>
    </row>
    <row r="192" spans="1:13" s="81" customFormat="1" ht="37.5" customHeight="1">
      <c r="A192" s="94" t="s">
        <v>151</v>
      </c>
      <c r="B192" s="95" t="s">
        <v>152</v>
      </c>
      <c r="C192" s="96"/>
      <c r="D192" s="96"/>
      <c r="E192" s="96"/>
      <c r="F192" s="97"/>
      <c r="G192" s="96"/>
      <c r="H192" s="96"/>
      <c r="I192" s="96"/>
      <c r="J192" s="96"/>
      <c r="K192" s="96"/>
      <c r="L192" s="96"/>
      <c r="M192" s="98"/>
    </row>
    <row r="193" spans="1:13" s="4" customFormat="1" ht="78" customHeight="1">
      <c r="A193" s="29" t="s">
        <v>226</v>
      </c>
      <c r="B193" s="10" t="s">
        <v>7</v>
      </c>
      <c r="C193" s="17"/>
      <c r="D193" s="17"/>
      <c r="E193" s="17"/>
      <c r="F193" s="48">
        <f aca="true" t="shared" si="26" ref="F193:F202">G193+J193</f>
        <v>124</v>
      </c>
      <c r="G193" s="17">
        <v>99</v>
      </c>
      <c r="H193" s="17"/>
      <c r="I193" s="17"/>
      <c r="J193" s="17">
        <v>25</v>
      </c>
      <c r="K193" s="17"/>
      <c r="L193" s="17"/>
      <c r="M193" s="27">
        <f t="shared" si="23"/>
        <v>124</v>
      </c>
    </row>
    <row r="194" spans="1:13" s="4" customFormat="1" ht="89.25" customHeight="1" hidden="1">
      <c r="A194" s="29" t="s">
        <v>226</v>
      </c>
      <c r="B194" s="10" t="s">
        <v>7</v>
      </c>
      <c r="C194" s="17"/>
      <c r="D194" s="17"/>
      <c r="E194" s="17"/>
      <c r="F194" s="48">
        <f t="shared" si="26"/>
        <v>0</v>
      </c>
      <c r="G194" s="17"/>
      <c r="H194" s="17"/>
      <c r="I194" s="17"/>
      <c r="J194" s="17"/>
      <c r="K194" s="17"/>
      <c r="L194" s="17"/>
      <c r="M194" s="27">
        <f t="shared" si="23"/>
        <v>0</v>
      </c>
    </row>
    <row r="195" spans="1:13" s="4" customFormat="1" ht="58.5" customHeight="1" hidden="1">
      <c r="A195" s="29" t="s">
        <v>305</v>
      </c>
      <c r="B195" s="10" t="s">
        <v>6</v>
      </c>
      <c r="C195" s="17"/>
      <c r="D195" s="17"/>
      <c r="E195" s="17"/>
      <c r="F195" s="48">
        <f t="shared" si="26"/>
        <v>0</v>
      </c>
      <c r="G195" s="17"/>
      <c r="H195" s="17"/>
      <c r="I195" s="17"/>
      <c r="J195" s="17"/>
      <c r="K195" s="17"/>
      <c r="L195" s="17"/>
      <c r="M195" s="27">
        <f t="shared" si="23"/>
        <v>0</v>
      </c>
    </row>
    <row r="196" spans="1:13" s="4" customFormat="1" ht="141" customHeight="1" hidden="1">
      <c r="A196" s="29" t="s">
        <v>216</v>
      </c>
      <c r="B196" s="33" t="s">
        <v>49</v>
      </c>
      <c r="C196" s="17"/>
      <c r="D196" s="17"/>
      <c r="E196" s="17"/>
      <c r="F196" s="48">
        <f t="shared" si="26"/>
        <v>0</v>
      </c>
      <c r="G196" s="17"/>
      <c r="H196" s="17"/>
      <c r="I196" s="17"/>
      <c r="J196" s="17"/>
      <c r="K196" s="17"/>
      <c r="L196" s="17"/>
      <c r="M196" s="27">
        <f t="shared" si="23"/>
        <v>0</v>
      </c>
    </row>
    <row r="197" spans="1:13" s="4" customFormat="1" ht="82.5" customHeight="1" hidden="1">
      <c r="A197" s="29" t="s">
        <v>216</v>
      </c>
      <c r="B197" s="10" t="s">
        <v>31</v>
      </c>
      <c r="C197" s="17"/>
      <c r="D197" s="17"/>
      <c r="E197" s="17"/>
      <c r="F197" s="48">
        <f t="shared" si="26"/>
        <v>0</v>
      </c>
      <c r="G197" s="17"/>
      <c r="H197" s="17"/>
      <c r="I197" s="17"/>
      <c r="J197" s="17"/>
      <c r="K197" s="17"/>
      <c r="L197" s="17"/>
      <c r="M197" s="27">
        <f t="shared" si="23"/>
        <v>0</v>
      </c>
    </row>
    <row r="198" spans="1:13" s="4" customFormat="1" ht="99" customHeight="1" hidden="1">
      <c r="A198" s="29" t="s">
        <v>216</v>
      </c>
      <c r="B198" s="33" t="s">
        <v>298</v>
      </c>
      <c r="C198" s="17"/>
      <c r="D198" s="17"/>
      <c r="E198" s="17"/>
      <c r="F198" s="48">
        <f t="shared" si="26"/>
        <v>0</v>
      </c>
      <c r="G198" s="17"/>
      <c r="H198" s="17"/>
      <c r="I198" s="17"/>
      <c r="J198" s="17"/>
      <c r="K198" s="17"/>
      <c r="L198" s="17"/>
      <c r="M198" s="27">
        <f t="shared" si="23"/>
        <v>0</v>
      </c>
    </row>
    <row r="199" spans="1:13" s="32" customFormat="1" ht="87.75" customHeight="1">
      <c r="A199" s="29" t="s">
        <v>216</v>
      </c>
      <c r="B199" s="30" t="s">
        <v>32</v>
      </c>
      <c r="C199" s="31"/>
      <c r="D199" s="31"/>
      <c r="E199" s="31"/>
      <c r="F199" s="48">
        <f t="shared" si="26"/>
        <v>20.7</v>
      </c>
      <c r="G199" s="31">
        <f>10.7+10</f>
        <v>20.7</v>
      </c>
      <c r="H199" s="31"/>
      <c r="I199" s="31"/>
      <c r="J199" s="31"/>
      <c r="K199" s="31"/>
      <c r="L199" s="31"/>
      <c r="M199" s="27">
        <f>C199+F199</f>
        <v>20.7</v>
      </c>
    </row>
    <row r="200" spans="1:13" s="4" customFormat="1" ht="84" customHeight="1">
      <c r="A200" s="29" t="s">
        <v>216</v>
      </c>
      <c r="B200" s="33" t="s">
        <v>3</v>
      </c>
      <c r="C200" s="17"/>
      <c r="D200" s="17"/>
      <c r="E200" s="17"/>
      <c r="F200" s="48">
        <f t="shared" si="26"/>
        <v>1</v>
      </c>
      <c r="G200" s="17">
        <v>1</v>
      </c>
      <c r="H200" s="17"/>
      <c r="I200" s="17"/>
      <c r="J200" s="17"/>
      <c r="K200" s="17"/>
      <c r="L200" s="17"/>
      <c r="M200" s="27">
        <f t="shared" si="23"/>
        <v>1</v>
      </c>
    </row>
    <row r="201" spans="1:13" s="4" customFormat="1" ht="93.75" hidden="1">
      <c r="A201" s="29" t="s">
        <v>216</v>
      </c>
      <c r="B201" s="33" t="s">
        <v>68</v>
      </c>
      <c r="C201" s="17"/>
      <c r="D201" s="17"/>
      <c r="E201" s="17"/>
      <c r="F201" s="48">
        <f t="shared" si="26"/>
        <v>0</v>
      </c>
      <c r="G201" s="17"/>
      <c r="H201" s="17"/>
      <c r="I201" s="17"/>
      <c r="J201" s="17"/>
      <c r="K201" s="17"/>
      <c r="L201" s="17"/>
      <c r="M201" s="27">
        <f t="shared" si="23"/>
        <v>0</v>
      </c>
    </row>
    <row r="202" spans="1:41" s="68" customFormat="1" ht="39.75" customHeight="1">
      <c r="A202" s="20"/>
      <c r="B202" s="107" t="s">
        <v>156</v>
      </c>
      <c r="C202" s="26">
        <f>SUM(C193:C201)</f>
        <v>0</v>
      </c>
      <c r="D202" s="26">
        <f>SUM(D193:D201)</f>
        <v>0</v>
      </c>
      <c r="E202" s="26">
        <f>SUM(E193:E201)</f>
        <v>0</v>
      </c>
      <c r="F202" s="23">
        <f t="shared" si="26"/>
        <v>145.7</v>
      </c>
      <c r="G202" s="26">
        <f aca="true" t="shared" si="27" ref="G202:L202">SUM(G193:G201)</f>
        <v>120.7</v>
      </c>
      <c r="H202" s="26">
        <f t="shared" si="27"/>
        <v>0</v>
      </c>
      <c r="I202" s="26">
        <f t="shared" si="27"/>
        <v>0</v>
      </c>
      <c r="J202" s="26">
        <f t="shared" si="27"/>
        <v>25</v>
      </c>
      <c r="K202" s="26">
        <f t="shared" si="27"/>
        <v>0</v>
      </c>
      <c r="L202" s="26">
        <f t="shared" si="27"/>
        <v>0</v>
      </c>
      <c r="M202" s="26">
        <f>C202+F202</f>
        <v>145.7</v>
      </c>
      <c r="N202" s="110"/>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row>
    <row r="203" spans="1:13" s="126" customFormat="1" ht="50.25" customHeight="1">
      <c r="A203" s="94" t="s">
        <v>21</v>
      </c>
      <c r="B203" s="95" t="s">
        <v>22</v>
      </c>
      <c r="C203" s="96"/>
      <c r="D203" s="96"/>
      <c r="E203" s="96"/>
      <c r="F203" s="97"/>
      <c r="G203" s="96"/>
      <c r="H203" s="96"/>
      <c r="I203" s="96"/>
      <c r="J203" s="96"/>
      <c r="K203" s="96"/>
      <c r="L203" s="96"/>
      <c r="M203" s="98"/>
    </row>
    <row r="204" spans="1:13" s="164" customFormat="1" ht="39" customHeight="1">
      <c r="A204" s="160" t="s">
        <v>47</v>
      </c>
      <c r="B204" s="161" t="s">
        <v>48</v>
      </c>
      <c r="C204" s="162">
        <v>50</v>
      </c>
      <c r="D204" s="162"/>
      <c r="E204" s="162"/>
      <c r="F204" s="163"/>
      <c r="G204" s="162"/>
      <c r="H204" s="162"/>
      <c r="I204" s="162"/>
      <c r="J204" s="162"/>
      <c r="K204" s="162"/>
      <c r="L204" s="162"/>
      <c r="M204" s="27">
        <f t="shared" si="23"/>
        <v>50</v>
      </c>
    </row>
    <row r="205" spans="1:13" s="4" customFormat="1" ht="35.25" customHeight="1">
      <c r="A205" s="29" t="s">
        <v>191</v>
      </c>
      <c r="B205" s="30" t="s">
        <v>254</v>
      </c>
      <c r="C205" s="17">
        <f>87+22.06051</f>
        <v>109.06051</v>
      </c>
      <c r="D205" s="17"/>
      <c r="E205" s="17"/>
      <c r="F205" s="48">
        <f>G205+J205</f>
        <v>0</v>
      </c>
      <c r="G205" s="17"/>
      <c r="H205" s="17"/>
      <c r="I205" s="17"/>
      <c r="J205" s="17"/>
      <c r="K205" s="17"/>
      <c r="L205" s="17"/>
      <c r="M205" s="27">
        <f t="shared" si="23"/>
        <v>109.06051</v>
      </c>
    </row>
    <row r="206" spans="1:13" s="4" customFormat="1" ht="84.75" customHeight="1">
      <c r="A206" s="29" t="s">
        <v>256</v>
      </c>
      <c r="B206" s="13" t="s">
        <v>83</v>
      </c>
      <c r="C206" s="31">
        <v>2.32504</v>
      </c>
      <c r="D206" s="31"/>
      <c r="E206" s="31"/>
      <c r="F206" s="48">
        <f>G206+J206</f>
        <v>0</v>
      </c>
      <c r="G206" s="31"/>
      <c r="H206" s="31"/>
      <c r="I206" s="31"/>
      <c r="J206" s="31"/>
      <c r="K206" s="31"/>
      <c r="L206" s="31"/>
      <c r="M206" s="31">
        <f t="shared" si="23"/>
        <v>2.32504</v>
      </c>
    </row>
    <row r="207" spans="1:14" s="4" customFormat="1" ht="67.5" customHeight="1">
      <c r="A207" s="29" t="s">
        <v>79</v>
      </c>
      <c r="B207" s="30" t="s">
        <v>80</v>
      </c>
      <c r="C207" s="27"/>
      <c r="D207" s="17"/>
      <c r="E207" s="17"/>
      <c r="F207" s="48">
        <f>G207+J207</f>
        <v>0</v>
      </c>
      <c r="G207" s="17"/>
      <c r="H207" s="17"/>
      <c r="I207" s="17"/>
      <c r="J207" s="17"/>
      <c r="K207" s="17"/>
      <c r="L207" s="17"/>
      <c r="M207" s="27">
        <f>C207+F207</f>
        <v>0</v>
      </c>
      <c r="N207" s="4">
        <v>317.1</v>
      </c>
    </row>
    <row r="208" spans="1:13" s="32" customFormat="1" ht="94.5" customHeight="1">
      <c r="A208" s="29" t="s">
        <v>308</v>
      </c>
      <c r="B208" s="30" t="s">
        <v>141</v>
      </c>
      <c r="C208" s="17">
        <v>15</v>
      </c>
      <c r="D208" s="17"/>
      <c r="E208" s="17"/>
      <c r="F208" s="48">
        <f>G208+J208</f>
        <v>16.5</v>
      </c>
      <c r="G208" s="31"/>
      <c r="H208" s="17"/>
      <c r="I208" s="17"/>
      <c r="J208" s="17">
        <v>16.5</v>
      </c>
      <c r="K208" s="17">
        <v>16.5</v>
      </c>
      <c r="L208" s="17"/>
      <c r="M208" s="27">
        <f aca="true" t="shared" si="28" ref="M208:M214">C208+F208</f>
        <v>31.5</v>
      </c>
    </row>
    <row r="209" spans="1:13" s="32" customFormat="1" ht="96" customHeight="1">
      <c r="A209" s="29" t="s">
        <v>308</v>
      </c>
      <c r="B209" s="157" t="s">
        <v>309</v>
      </c>
      <c r="C209" s="17">
        <v>45</v>
      </c>
      <c r="D209" s="17"/>
      <c r="E209" s="17"/>
      <c r="F209" s="48"/>
      <c r="G209" s="31"/>
      <c r="H209" s="17"/>
      <c r="I209" s="17"/>
      <c r="J209" s="17"/>
      <c r="K209" s="17"/>
      <c r="L209" s="17"/>
      <c r="M209" s="27">
        <f t="shared" si="28"/>
        <v>45</v>
      </c>
    </row>
    <row r="210" spans="1:13" s="32" customFormat="1" ht="72" customHeight="1">
      <c r="A210" s="29" t="s">
        <v>308</v>
      </c>
      <c r="B210" s="15" t="s">
        <v>142</v>
      </c>
      <c r="C210" s="17">
        <v>15</v>
      </c>
      <c r="D210" s="17"/>
      <c r="E210" s="17"/>
      <c r="F210" s="48">
        <f aca="true" t="shared" si="29" ref="F210:F216">G210+J210</f>
        <v>0</v>
      </c>
      <c r="G210" s="31"/>
      <c r="H210" s="17"/>
      <c r="I210" s="17"/>
      <c r="J210" s="17"/>
      <c r="K210" s="17"/>
      <c r="L210" s="17"/>
      <c r="M210" s="27">
        <f t="shared" si="28"/>
        <v>15</v>
      </c>
    </row>
    <row r="211" spans="1:13" s="32" customFormat="1" ht="108" customHeight="1">
      <c r="A211" s="29" t="s">
        <v>308</v>
      </c>
      <c r="B211" s="30" t="s">
        <v>310</v>
      </c>
      <c r="C211" s="17"/>
      <c r="D211" s="17"/>
      <c r="E211" s="17"/>
      <c r="F211" s="48">
        <f t="shared" si="29"/>
        <v>110</v>
      </c>
      <c r="G211" s="31"/>
      <c r="H211" s="17"/>
      <c r="I211" s="17"/>
      <c r="J211" s="17">
        <v>110</v>
      </c>
      <c r="K211" s="17">
        <v>110</v>
      </c>
      <c r="L211" s="17"/>
      <c r="M211" s="27">
        <f t="shared" si="28"/>
        <v>110</v>
      </c>
    </row>
    <row r="212" spans="1:13" s="32" customFormat="1" ht="78.75" customHeight="1">
      <c r="A212" s="29" t="s">
        <v>308</v>
      </c>
      <c r="B212" s="157" t="s">
        <v>311</v>
      </c>
      <c r="C212" s="17">
        <v>73</v>
      </c>
      <c r="D212" s="17"/>
      <c r="E212" s="17"/>
      <c r="F212" s="48">
        <f t="shared" si="29"/>
        <v>0</v>
      </c>
      <c r="G212" s="31"/>
      <c r="H212" s="17"/>
      <c r="I212" s="17"/>
      <c r="J212" s="17"/>
      <c r="K212" s="17"/>
      <c r="L212" s="17"/>
      <c r="M212" s="27">
        <f t="shared" si="28"/>
        <v>73</v>
      </c>
    </row>
    <row r="213" spans="1:13" s="32" customFormat="1" ht="100.5" customHeight="1">
      <c r="A213" s="29" t="s">
        <v>308</v>
      </c>
      <c r="B213" s="157" t="s">
        <v>143</v>
      </c>
      <c r="C213" s="29"/>
      <c r="D213" s="157"/>
      <c r="E213" s="17"/>
      <c r="F213" s="48">
        <f t="shared" si="29"/>
        <v>280</v>
      </c>
      <c r="G213" s="31"/>
      <c r="H213" s="17"/>
      <c r="I213" s="17"/>
      <c r="J213" s="31">
        <v>280</v>
      </c>
      <c r="K213" s="31">
        <v>280</v>
      </c>
      <c r="L213" s="31"/>
      <c r="M213" s="27">
        <f t="shared" si="28"/>
        <v>280</v>
      </c>
    </row>
    <row r="214" spans="1:13" s="32" customFormat="1" ht="124.5" customHeight="1">
      <c r="A214" s="29" t="s">
        <v>308</v>
      </c>
      <c r="B214" s="157" t="s">
        <v>5</v>
      </c>
      <c r="C214" s="17"/>
      <c r="D214" s="17"/>
      <c r="E214" s="17"/>
      <c r="F214" s="48">
        <f t="shared" si="29"/>
        <v>30</v>
      </c>
      <c r="G214" s="31"/>
      <c r="H214" s="17"/>
      <c r="I214" s="17"/>
      <c r="J214" s="31">
        <v>30</v>
      </c>
      <c r="K214" s="31">
        <v>30</v>
      </c>
      <c r="L214" s="31"/>
      <c r="M214" s="27">
        <f t="shared" si="28"/>
        <v>30</v>
      </c>
    </row>
    <row r="215" spans="1:13" s="32" customFormat="1" ht="96.75" customHeight="1">
      <c r="A215" s="29" t="s">
        <v>4</v>
      </c>
      <c r="B215" s="157" t="s">
        <v>145</v>
      </c>
      <c r="C215" s="17">
        <v>22</v>
      </c>
      <c r="D215" s="17"/>
      <c r="E215" s="17"/>
      <c r="F215" s="48">
        <f>G215+J215</f>
        <v>0</v>
      </c>
      <c r="G215" s="31"/>
      <c r="H215" s="17"/>
      <c r="I215" s="17"/>
      <c r="J215" s="31"/>
      <c r="K215" s="31"/>
      <c r="L215" s="31"/>
      <c r="M215" s="27">
        <f>C215+F215</f>
        <v>22</v>
      </c>
    </row>
    <row r="216" spans="1:13" s="4" customFormat="1" ht="88.5" customHeight="1" hidden="1">
      <c r="A216" s="29" t="s">
        <v>57</v>
      </c>
      <c r="B216" s="15" t="s">
        <v>259</v>
      </c>
      <c r="C216" s="27"/>
      <c r="D216" s="17"/>
      <c r="E216" s="17"/>
      <c r="F216" s="48">
        <f t="shared" si="29"/>
        <v>0</v>
      </c>
      <c r="G216" s="17"/>
      <c r="H216" s="17"/>
      <c r="I216" s="17"/>
      <c r="J216" s="17"/>
      <c r="K216" s="17"/>
      <c r="L216" s="17"/>
      <c r="M216" s="27">
        <f>C216+F216</f>
        <v>0</v>
      </c>
    </row>
    <row r="217" spans="1:41" s="43" customFormat="1" ht="81.75" customHeight="1" hidden="1">
      <c r="A217" s="19">
        <v>250362</v>
      </c>
      <c r="B217" s="33" t="s">
        <v>304</v>
      </c>
      <c r="C217" s="27"/>
      <c r="D217" s="27"/>
      <c r="E217" s="27"/>
      <c r="F217" s="48">
        <f>4629.8-4629.8</f>
        <v>0</v>
      </c>
      <c r="G217" s="27"/>
      <c r="H217" s="27"/>
      <c r="I217" s="27"/>
      <c r="J217" s="27"/>
      <c r="K217" s="27"/>
      <c r="L217" s="27"/>
      <c r="M217" s="27">
        <f>C217+F217</f>
        <v>0</v>
      </c>
      <c r="N217" s="47">
        <v>-4629.8</v>
      </c>
      <c r="O217" s="42"/>
      <c r="P217" s="42"/>
      <c r="Q217" s="42"/>
      <c r="R217" s="42"/>
      <c r="S217" s="42"/>
      <c r="T217" s="42"/>
      <c r="U217" s="42"/>
      <c r="V217" s="42"/>
      <c r="W217" s="42"/>
      <c r="X217" s="42"/>
      <c r="Y217" s="42"/>
      <c r="Z217" s="42"/>
      <c r="AA217" s="42"/>
      <c r="AB217" s="42"/>
      <c r="AC217" s="42"/>
      <c r="AD217" s="42"/>
      <c r="AE217" s="42"/>
      <c r="AF217" s="42"/>
      <c r="AG217" s="42"/>
      <c r="AH217" s="42"/>
      <c r="AI217" s="42"/>
      <c r="AJ217" s="42"/>
      <c r="AK217" s="42"/>
      <c r="AL217" s="42"/>
      <c r="AM217" s="42"/>
      <c r="AN217" s="42"/>
      <c r="AO217" s="42"/>
    </row>
    <row r="218" spans="1:41" s="68" customFormat="1" ht="33.75" customHeight="1">
      <c r="A218" s="20"/>
      <c r="B218" s="107" t="s">
        <v>156</v>
      </c>
      <c r="C218" s="26">
        <f aca="true" t="shared" si="30" ref="C218:L218">SUM(C204:C217)</f>
        <v>331.38554999999997</v>
      </c>
      <c r="D218" s="26">
        <f t="shared" si="30"/>
        <v>0</v>
      </c>
      <c r="E218" s="26">
        <f t="shared" si="30"/>
        <v>0</v>
      </c>
      <c r="F218" s="26">
        <f t="shared" si="30"/>
        <v>436.5</v>
      </c>
      <c r="G218" s="26">
        <f t="shared" si="30"/>
        <v>0</v>
      </c>
      <c r="H218" s="26">
        <f t="shared" si="30"/>
        <v>0</v>
      </c>
      <c r="I218" s="26">
        <f t="shared" si="30"/>
        <v>0</v>
      </c>
      <c r="J218" s="26">
        <f t="shared" si="30"/>
        <v>436.5</v>
      </c>
      <c r="K218" s="26">
        <f t="shared" si="30"/>
        <v>436.5</v>
      </c>
      <c r="L218" s="26">
        <f t="shared" si="30"/>
        <v>0</v>
      </c>
      <c r="M218" s="26">
        <f>C218+F218</f>
        <v>767.88555</v>
      </c>
      <c r="N218" s="110"/>
      <c r="O218" s="67"/>
      <c r="P218" s="67"/>
      <c r="Q218" s="67"/>
      <c r="R218" s="67"/>
      <c r="S218" s="67"/>
      <c r="T218" s="67"/>
      <c r="U218" s="67"/>
      <c r="V218" s="67"/>
      <c r="W218" s="67"/>
      <c r="X218" s="67"/>
      <c r="Y218" s="67"/>
      <c r="Z218" s="67"/>
      <c r="AA218" s="67"/>
      <c r="AB218" s="67"/>
      <c r="AC218" s="67"/>
      <c r="AD218" s="67"/>
      <c r="AE218" s="67"/>
      <c r="AF218" s="67"/>
      <c r="AG218" s="67"/>
      <c r="AH218" s="67"/>
      <c r="AI218" s="67"/>
      <c r="AJ218" s="67"/>
      <c r="AK218" s="67"/>
      <c r="AL218" s="67"/>
      <c r="AM218" s="67"/>
      <c r="AN218" s="67"/>
      <c r="AO218" s="67"/>
    </row>
    <row r="219" spans="1:15" s="80" customFormat="1" ht="39.75" customHeight="1">
      <c r="A219" s="78"/>
      <c r="B219" s="95" t="s">
        <v>280</v>
      </c>
      <c r="C219" s="79">
        <f aca="true" t="shared" si="31" ref="C219:M219">SUM(C24+C27+C42+C110+C129+C138+C142+C151+C159+C162+C173+C186+C191+C202+C218)</f>
        <v>121919.83517999998</v>
      </c>
      <c r="D219" s="79">
        <f t="shared" si="31"/>
        <v>46159.596999999994</v>
      </c>
      <c r="E219" s="79">
        <f t="shared" si="31"/>
        <v>4327.969</v>
      </c>
      <c r="F219" s="79">
        <f t="shared" si="31"/>
        <v>30233.23136</v>
      </c>
      <c r="G219" s="79">
        <f t="shared" si="31"/>
        <v>20467.67869</v>
      </c>
      <c r="H219" s="79">
        <f t="shared" si="31"/>
        <v>407.162</v>
      </c>
      <c r="I219" s="79">
        <f t="shared" si="31"/>
        <v>52.209</v>
      </c>
      <c r="J219" s="79">
        <f t="shared" si="31"/>
        <v>9765.552670000001</v>
      </c>
      <c r="K219" s="79">
        <f t="shared" si="31"/>
        <v>7049.326169999999</v>
      </c>
      <c r="L219" s="79">
        <f t="shared" si="31"/>
        <v>0</v>
      </c>
      <c r="M219" s="79">
        <f t="shared" si="31"/>
        <v>152153.06654</v>
      </c>
      <c r="N219" s="130">
        <f>K219-9449.93947</f>
        <v>-2400.6133</v>
      </c>
      <c r="O219" s="131"/>
    </row>
    <row r="220" spans="1:13" s="4" customFormat="1" ht="165.75" customHeight="1">
      <c r="A220" s="1" t="s">
        <v>192</v>
      </c>
      <c r="B220" s="15" t="s">
        <v>107</v>
      </c>
      <c r="C220" s="31">
        <v>66972.2</v>
      </c>
      <c r="D220" s="17"/>
      <c r="E220" s="17"/>
      <c r="F220" s="48">
        <f>G220+J220</f>
        <v>0</v>
      </c>
      <c r="G220" s="17"/>
      <c r="H220" s="17"/>
      <c r="I220" s="17"/>
      <c r="J220" s="17"/>
      <c r="K220" s="17"/>
      <c r="L220" s="17"/>
      <c r="M220" s="17">
        <f>C220+F220</f>
        <v>66972.2</v>
      </c>
    </row>
    <row r="221" spans="1:15" s="151" customFormat="1" ht="39.75" customHeight="1">
      <c r="A221" s="146"/>
      <c r="B221" s="147" t="s">
        <v>280</v>
      </c>
      <c r="C221" s="148">
        <f>SUM(C219:C220)</f>
        <v>188892.03517999998</v>
      </c>
      <c r="D221" s="148">
        <f aca="true" t="shared" si="32" ref="D221:M221">SUM(D219:D220)</f>
        <v>46159.596999999994</v>
      </c>
      <c r="E221" s="148">
        <f t="shared" si="32"/>
        <v>4327.969</v>
      </c>
      <c r="F221" s="148">
        <f t="shared" si="32"/>
        <v>30233.23136</v>
      </c>
      <c r="G221" s="148">
        <f t="shared" si="32"/>
        <v>20467.67869</v>
      </c>
      <c r="H221" s="148">
        <f t="shared" si="32"/>
        <v>407.162</v>
      </c>
      <c r="I221" s="148">
        <f t="shared" si="32"/>
        <v>52.209</v>
      </c>
      <c r="J221" s="148">
        <f t="shared" si="32"/>
        <v>9765.552670000001</v>
      </c>
      <c r="K221" s="148">
        <f t="shared" si="32"/>
        <v>7049.326169999999</v>
      </c>
      <c r="L221" s="148">
        <f t="shared" si="32"/>
        <v>0</v>
      </c>
      <c r="M221" s="148">
        <f t="shared" si="32"/>
        <v>219125.26653999998</v>
      </c>
      <c r="N221" s="149">
        <f>K221-9449.93947</f>
        <v>-2400.6133</v>
      </c>
      <c r="O221" s="150"/>
    </row>
    <row r="222" spans="1:13" s="4" customFormat="1" ht="37.5">
      <c r="A222" s="1"/>
      <c r="B222" s="10" t="s">
        <v>255</v>
      </c>
      <c r="C222" s="17">
        <f>C165+C45+C29</f>
        <v>40191.799999999996</v>
      </c>
      <c r="D222" s="17">
        <f>D165+D45+D29</f>
        <v>0</v>
      </c>
      <c r="E222" s="17">
        <f>E165+E45+E29</f>
        <v>0</v>
      </c>
      <c r="F222" s="17">
        <f>G222+J222</f>
        <v>19278.32919</v>
      </c>
      <c r="G222" s="17">
        <f>G165+G45+G29+G144+G128</f>
        <v>16737.53269</v>
      </c>
      <c r="H222" s="17">
        <f>H165+H45+H29</f>
        <v>0</v>
      </c>
      <c r="I222" s="17">
        <f>I165+I45+I29</f>
        <v>0</v>
      </c>
      <c r="J222" s="17">
        <f>J165+J45+J29+J153</f>
        <v>2540.7965</v>
      </c>
      <c r="K222" s="17">
        <f>K165+K45+K29</f>
        <v>0</v>
      </c>
      <c r="L222" s="17">
        <f>L165+L45+L29</f>
        <v>0</v>
      </c>
      <c r="M222" s="17">
        <f>F222+C222</f>
        <v>59470.12918999999</v>
      </c>
    </row>
    <row r="225" spans="1:13" s="136" customFormat="1" ht="45" customHeight="1">
      <c r="A225" s="132" t="s">
        <v>52</v>
      </c>
      <c r="B225" s="133"/>
      <c r="C225" s="134"/>
      <c r="D225" s="134"/>
      <c r="E225" s="134"/>
      <c r="F225" s="134"/>
      <c r="G225" s="134"/>
      <c r="H225" s="134"/>
      <c r="I225" s="134"/>
      <c r="J225" s="134"/>
      <c r="K225" s="135" t="s">
        <v>303</v>
      </c>
      <c r="L225" s="134"/>
      <c r="M225" s="134"/>
    </row>
    <row r="226" ht="20.25">
      <c r="C226" s="127"/>
    </row>
    <row r="227" spans="1:13" s="159" customFormat="1" ht="20.25">
      <c r="A227" s="158"/>
      <c r="B227" s="127"/>
      <c r="C227" s="129">
        <v>186086.322</v>
      </c>
      <c r="D227" s="127">
        <v>46159.573</v>
      </c>
      <c r="E227" s="127">
        <v>4202.969</v>
      </c>
      <c r="F227" s="129">
        <v>10612.476</v>
      </c>
      <c r="G227" s="127">
        <v>4258.946</v>
      </c>
      <c r="H227" s="127">
        <v>407.162</v>
      </c>
      <c r="I227" s="127">
        <v>52.209</v>
      </c>
      <c r="J227" s="127">
        <v>6353.53</v>
      </c>
      <c r="K227" s="127">
        <v>5031</v>
      </c>
      <c r="L227" s="127"/>
      <c r="M227" s="127">
        <v>196698.798</v>
      </c>
    </row>
    <row r="228" spans="1:13" ht="15.75">
      <c r="A228" s="45"/>
      <c r="B228" s="3"/>
      <c r="C228" s="34">
        <f>C221-C227</f>
        <v>2805.7131799999916</v>
      </c>
      <c r="D228" s="34">
        <f aca="true" t="shared" si="33" ref="D228:M228">D221-D227</f>
        <v>0.023999999997613486</v>
      </c>
      <c r="E228" s="34">
        <f t="shared" si="33"/>
        <v>125</v>
      </c>
      <c r="F228" s="34">
        <f t="shared" si="33"/>
        <v>19620.755360000003</v>
      </c>
      <c r="G228" s="34">
        <f t="shared" si="33"/>
        <v>16208.73269</v>
      </c>
      <c r="H228" s="34">
        <f t="shared" si="33"/>
        <v>0</v>
      </c>
      <c r="I228" s="34">
        <f t="shared" si="33"/>
        <v>0</v>
      </c>
      <c r="J228" s="34">
        <f t="shared" si="33"/>
        <v>3412.022670000001</v>
      </c>
      <c r="K228" s="34">
        <f t="shared" si="33"/>
        <v>2018.3261699999994</v>
      </c>
      <c r="L228" s="34">
        <f t="shared" si="33"/>
        <v>0</v>
      </c>
      <c r="M228" s="34">
        <f t="shared" si="33"/>
        <v>22426.468539999973</v>
      </c>
    </row>
    <row r="229" spans="1:13" ht="15.75">
      <c r="A229" s="45"/>
      <c r="B229" s="3"/>
      <c r="C229" s="34"/>
      <c r="D229" s="3"/>
      <c r="E229" s="3"/>
      <c r="F229" s="34">
        <f>F228-3620.75536</f>
        <v>16000.000000000004</v>
      </c>
      <c r="G229" s="34">
        <f>G228-208.73269</f>
        <v>16000</v>
      </c>
      <c r="H229" s="3"/>
      <c r="I229" s="3"/>
      <c r="J229" s="3"/>
      <c r="K229" s="34"/>
      <c r="L229" s="3"/>
      <c r="M229" s="3"/>
    </row>
    <row r="230" spans="1:13" ht="15.75">
      <c r="A230" s="45"/>
      <c r="B230" s="3"/>
      <c r="C230" s="34"/>
      <c r="D230" s="3"/>
      <c r="E230" s="3"/>
      <c r="F230" s="3"/>
      <c r="G230" s="3"/>
      <c r="H230" s="3"/>
      <c r="I230" s="3"/>
      <c r="J230" s="3"/>
      <c r="K230" s="3"/>
      <c r="L230" s="3"/>
      <c r="M230" s="3"/>
    </row>
    <row r="231" spans="1:13" ht="15.75">
      <c r="A231" s="45"/>
      <c r="B231" s="3"/>
      <c r="C231" s="34"/>
      <c r="D231" s="3"/>
      <c r="E231" s="3"/>
      <c r="F231" s="34"/>
      <c r="G231" s="3"/>
      <c r="H231" s="3"/>
      <c r="I231" s="3"/>
      <c r="J231" s="34"/>
      <c r="K231" s="34"/>
      <c r="L231" s="34"/>
      <c r="M231" s="3"/>
    </row>
    <row r="233" ht="20.25">
      <c r="C233" s="129"/>
    </row>
    <row r="234" ht="18.75">
      <c r="C234" s="128"/>
    </row>
  </sheetData>
  <sheetProtection/>
  <mergeCells count="22">
    <mergeCell ref="F8:F11"/>
    <mergeCell ref="G8:G11"/>
    <mergeCell ref="I9:I11"/>
    <mergeCell ref="L10:L11"/>
    <mergeCell ref="H8:I8"/>
    <mergeCell ref="J8:J11"/>
    <mergeCell ref="A4:N4"/>
    <mergeCell ref="A5:M5"/>
    <mergeCell ref="K6:M6"/>
    <mergeCell ref="A7:A11"/>
    <mergeCell ref="B7:B11"/>
    <mergeCell ref="M7:M11"/>
    <mergeCell ref="K8:L8"/>
    <mergeCell ref="H9:H11"/>
    <mergeCell ref="F7:L7"/>
    <mergeCell ref="K9:K11"/>
    <mergeCell ref="A49:A50"/>
    <mergeCell ref="D9:D11"/>
    <mergeCell ref="E9:E11"/>
    <mergeCell ref="C7:E7"/>
    <mergeCell ref="C8:C11"/>
    <mergeCell ref="D8:E8"/>
  </mergeCells>
  <conditionalFormatting sqref="C207 G202:L202 C202:E202 C191:E191 G191:L191 C186:E186 G186:L186 C173:L173 G159:L162 C159:E162 C151:L151 C142:E142 G142:L142 C138:E138 G138:L138 F41:F150 C129:E129 G110:L110 C110:E110 C42:E42 G41:L42 F35:M40 G165:M165 F220 G26:L27 C27:E27 C24:L24 E22:L23 F17:L17 C14:L16 C22:D22 C18:L21 M14:M33 D217:L218 C216:C218 G31:L32 F152:F172 G129:L129 M41:M164 G34:M34 F25:F34 F174:F216 M207:M218 M166:M205">
    <cfRule type="cellIs" priority="14" dxfId="0" operator="equal" stopIfTrue="1">
      <formula>0</formula>
    </cfRule>
  </conditionalFormatting>
  <printOptions/>
  <pageMargins left="0.7874015748031497" right="0.3937007874015748" top="0.984251968503937" bottom="0.984251968503937" header="0.5118110236220472" footer="0.5118110236220472"/>
  <pageSetup blackAndWhite="1" fitToHeight="20" horizontalDpi="600" verticalDpi="600" orientation="landscape" paperSize="9" scale="50" r:id="rId1"/>
  <rowBreaks count="8" manualBreakCount="8">
    <brk id="21" max="12" man="1"/>
    <brk id="38" max="12" man="1"/>
    <brk id="97" max="12" man="1"/>
    <brk id="114" max="12" man="1"/>
    <brk id="133" max="12" man="1"/>
    <brk id="151" max="12" man="1"/>
    <brk id="170" max="12" man="1"/>
    <brk id="19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Света</dc:creator>
  <cp:keywords/>
  <dc:description/>
  <cp:lastModifiedBy>User</cp:lastModifiedBy>
  <cp:lastPrinted>2014-02-25T08:00:18Z</cp:lastPrinted>
  <dcterms:created xsi:type="dcterms:W3CDTF">2002-12-23T07:57:09Z</dcterms:created>
  <dcterms:modified xsi:type="dcterms:W3CDTF">2014-03-31T13:15:51Z</dcterms:modified>
  <cp:category/>
  <cp:version/>
  <cp:contentType/>
  <cp:contentStatus/>
</cp:coreProperties>
</file>